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Group matches" sheetId="1" r:id="rId1"/>
    <sheet name="Group tables" sheetId="2" r:id="rId2"/>
    <sheet name="Second round" sheetId="3" r:id="rId3"/>
    <sheet name="Quarter finals" sheetId="4" r:id="rId4"/>
    <sheet name="Semi finals" sheetId="5" r:id="rId5"/>
    <sheet name="Final" sheetId="6" r:id="rId6"/>
    <sheet name="About" sheetId="7" r:id="rId7"/>
  </sheets>
  <definedNames>
    <definedName name="Against1">'Group matches'!$R$4:$R$51</definedName>
    <definedName name="Against2">'Group matches'!$Y$4:$Y$51</definedName>
    <definedName name="Drawn1">'Group matches'!$O$4:$O$51</definedName>
    <definedName name="Drawn2">'Group matches'!$V$4:$V$51</definedName>
    <definedName name="FINALA">'Final'!$AA$4:$AH$10</definedName>
    <definedName name="FINALB">'Final'!$AI$4:$AP$10</definedName>
    <definedName name="For1">'Group matches'!$Q$4:$Q$51</definedName>
    <definedName name="For2">'Group matches'!$X$4:$X$51</definedName>
    <definedName name="GFixA">'Group matches'!$AA$4:$AH$51</definedName>
    <definedName name="GFixB">'Group matches'!$AI$4:$AP$51</definedName>
    <definedName name="GroupA">'About'!$B$7:$K$12</definedName>
    <definedName name="GroupB">'About'!$B$16:$K$19</definedName>
    <definedName name="GroupC">'About'!$B$23:$K$26</definedName>
    <definedName name="GroupD">'About'!$B$30:$K$33</definedName>
    <definedName name="GroupE">'About'!$B$37:$K$40</definedName>
    <definedName name="GroupF">'About'!$B$44:$K$47</definedName>
    <definedName name="GroupG">'About'!$B$51:$K$54</definedName>
    <definedName name="GroupH">'About'!$B$58:$K$61</definedName>
    <definedName name="Lost1">'Group matches'!$P$4:$P$51</definedName>
    <definedName name="Lost2">'Group matches'!$W$4:$W$51</definedName>
    <definedName name="NumToTeam">'About'!$O$1:$P$34</definedName>
    <definedName name="PL3A">'Final'!$AA$4:$AH$4</definedName>
    <definedName name="PL3B">'Final'!$AI$4:$AP$4</definedName>
    <definedName name="Pld1">'Group matches'!$M$4:$M$51</definedName>
    <definedName name="Pld2">'Group matches'!$T$4:$T$51</definedName>
    <definedName name="PldA">'Group tables'!$C$4:$C$7</definedName>
    <definedName name="PldB">'Group tables'!$C$11:$C$14</definedName>
    <definedName name="PldC">'Group tables'!$C$18:$C$21</definedName>
    <definedName name="PldD">'Group tables'!$C$25:$C$28</definedName>
    <definedName name="PldE">'Group tables'!$C$32:$C$35</definedName>
    <definedName name="PldF">'Group tables'!$C$39:$C$42</definedName>
    <definedName name="PldG">'Group tables'!$C$46:$C$49</definedName>
    <definedName name="PldH">'Group tables'!$C$53:$C$56</definedName>
    <definedName name="QFA">'Quarter finals'!$AA$4:$AH$7</definedName>
    <definedName name="QFB">'Quarter finals'!$AI$4:$AP$7</definedName>
    <definedName name="RunnerUpA">'Group tables'!$B$5</definedName>
    <definedName name="RunnerUpB">'Group tables'!$B$12</definedName>
    <definedName name="RunnerUpC">'Group tables'!$B$19</definedName>
    <definedName name="RunnerUpD">'Group tables'!$B$26</definedName>
    <definedName name="RunnerUpE">'Group tables'!$B$33</definedName>
    <definedName name="RunnerUpF">'Group tables'!$B$40</definedName>
    <definedName name="RunnerUpG">'Group tables'!$B$47</definedName>
    <definedName name="RunnerUpH">'Group tables'!$B$54</definedName>
    <definedName name="SecRoundA">'Second round'!$AA$4:$AH$11</definedName>
    <definedName name="SecRoundB">'Second round'!$AI$4:$AP$11</definedName>
    <definedName name="SFA">'Semi finals'!$AA$4:$AH$5</definedName>
    <definedName name="SFB">'Semi finals'!$AI$4:$AP$5</definedName>
    <definedName name="Team1">'Group matches'!$L$4:$L$51</definedName>
    <definedName name="Team2">'Group matches'!$S$4:$S$51</definedName>
    <definedName name="TeamToNum">'About'!$P$1:$Q$34</definedName>
    <definedName name="WFB">'Quarter finals'!$AI$4:$AP$7</definedName>
    <definedName name="WinnerA">'Group tables'!$B$4</definedName>
    <definedName name="WinnerB">'Group tables'!$B$11</definedName>
    <definedName name="WinnerC">'Group tables'!$B$18</definedName>
    <definedName name="WinnerD">'Group tables'!$B$25</definedName>
    <definedName name="WinnerE">'Group tables'!$B$32</definedName>
    <definedName name="WinnerF">'Group tables'!$B$39</definedName>
    <definedName name="WinnerG">'Group tables'!$B$46</definedName>
    <definedName name="WinnerH">'Group tables'!$B$53</definedName>
    <definedName name="Won1">'Group matches'!$N$4:$N$51</definedName>
    <definedName name="Won2">'Group matches'!$U$4:$U$50</definedName>
  </definedNames>
  <calcPr fullCalcOnLoad="1"/>
</workbook>
</file>

<file path=xl/sharedStrings.xml><?xml version="1.0" encoding="utf-8"?>
<sst xmlns="http://schemas.openxmlformats.org/spreadsheetml/2006/main" count="439" uniqueCount="152">
  <si>
    <t>Group Stage</t>
  </si>
  <si>
    <t>Date</t>
  </si>
  <si>
    <t>Time</t>
  </si>
  <si>
    <t>Venue</t>
  </si>
  <si>
    <t>P</t>
  </si>
  <si>
    <t>W</t>
  </si>
  <si>
    <t>D</t>
  </si>
  <si>
    <t>L</t>
  </si>
  <si>
    <t>F</t>
  </si>
  <si>
    <t>A</t>
  </si>
  <si>
    <t>France</t>
  </si>
  <si>
    <t>Senegal</t>
  </si>
  <si>
    <t>Ireland</t>
  </si>
  <si>
    <t>Cameroon</t>
  </si>
  <si>
    <t>E</t>
  </si>
  <si>
    <t>Uruguay</t>
  </si>
  <si>
    <t>Denmark</t>
  </si>
  <si>
    <t>Germany</t>
  </si>
  <si>
    <t>Saudi Arabia</t>
  </si>
  <si>
    <t>England</t>
  </si>
  <si>
    <t>Sweden</t>
  </si>
  <si>
    <t>Paraguay</t>
  </si>
  <si>
    <t>South Africa</t>
  </si>
  <si>
    <t>B</t>
  </si>
  <si>
    <t>Argentina</t>
  </si>
  <si>
    <t>Nigeria</t>
  </si>
  <si>
    <t>Spain</t>
  </si>
  <si>
    <t>Slovenia</t>
  </si>
  <si>
    <t>Croatia</t>
  </si>
  <si>
    <t>Mexico</t>
  </si>
  <si>
    <t>G</t>
  </si>
  <si>
    <t>Brazil</t>
  </si>
  <si>
    <t>Turkey</t>
  </si>
  <si>
    <t>C</t>
  </si>
  <si>
    <t>Italy</t>
  </si>
  <si>
    <t>Ecuador</t>
  </si>
  <si>
    <t>China</t>
  </si>
  <si>
    <t>Costa Rica</t>
  </si>
  <si>
    <t>Japan</t>
  </si>
  <si>
    <t>Belgium</t>
  </si>
  <si>
    <t>H</t>
  </si>
  <si>
    <t>South Korea</t>
  </si>
  <si>
    <t>Poland</t>
  </si>
  <si>
    <t>Russia</t>
  </si>
  <si>
    <t>Tunisia</t>
  </si>
  <si>
    <t>USA</t>
  </si>
  <si>
    <t>Portugal</t>
  </si>
  <si>
    <t xml:space="preserve"> Group A</t>
  </si>
  <si>
    <t>Diff</t>
  </si>
  <si>
    <t>Pts</t>
  </si>
  <si>
    <t xml:space="preserve"> Group B</t>
  </si>
  <si>
    <t xml:space="preserve"> Group C</t>
  </si>
  <si>
    <t xml:space="preserve"> Group D</t>
  </si>
  <si>
    <t xml:space="preserve"> Group E</t>
  </si>
  <si>
    <t xml:space="preserve"> Group F</t>
  </si>
  <si>
    <t xml:space="preserve"> Group G</t>
  </si>
  <si>
    <t xml:space="preserve"> Group H</t>
  </si>
  <si>
    <t>2nd round</t>
  </si>
  <si>
    <t>Quarter final</t>
  </si>
  <si>
    <t>Semi final</t>
  </si>
  <si>
    <t>3rd place</t>
  </si>
  <si>
    <t>Final</t>
  </si>
  <si>
    <t>Winner:</t>
  </si>
  <si>
    <t>Win points</t>
  </si>
  <si>
    <t>Lose points</t>
  </si>
  <si>
    <t>World Cup 2002 for Pocket PC</t>
  </si>
  <si>
    <t>Spreadsheet provided by Expansys Ltd</t>
  </si>
  <si>
    <t>Group A</t>
  </si>
  <si>
    <t>www.expansys.com</t>
  </si>
  <si>
    <t>This may be freely distributed,</t>
  </si>
  <si>
    <t>provided this message is retained.</t>
  </si>
  <si>
    <t>Group B</t>
  </si>
  <si>
    <t>Group C</t>
  </si>
  <si>
    <t>Group D</t>
  </si>
  <si>
    <t>Group E</t>
  </si>
  <si>
    <t>Group F</t>
  </si>
  <si>
    <t>Group G</t>
  </si>
  <si>
    <t>Group H</t>
  </si>
  <si>
    <t>expressed or implied</t>
  </si>
  <si>
    <t>This is provided with no warranty,</t>
  </si>
  <si>
    <t>일자</t>
  </si>
  <si>
    <t>시간</t>
  </si>
  <si>
    <t>장소</t>
  </si>
  <si>
    <t>조</t>
  </si>
  <si>
    <t>서울</t>
  </si>
  <si>
    <t>삿포로</t>
  </si>
  <si>
    <t>광주</t>
  </si>
  <si>
    <t>부산</t>
  </si>
  <si>
    <t>이바라키</t>
  </si>
  <si>
    <t>서귀포</t>
  </si>
  <si>
    <t>요코하마</t>
  </si>
  <si>
    <t>전주</t>
  </si>
  <si>
    <t>시즈오카</t>
  </si>
  <si>
    <t>대전</t>
  </si>
  <si>
    <t>오이타</t>
  </si>
  <si>
    <t>인천</t>
  </si>
  <si>
    <t>이바라키</t>
  </si>
  <si>
    <t>니가타</t>
  </si>
  <si>
    <t>광주</t>
  </si>
  <si>
    <t>고베</t>
  </si>
  <si>
    <t>대구</t>
  </si>
  <si>
    <t>미야기</t>
  </si>
  <si>
    <t>수원</t>
  </si>
  <si>
    <t>인천</t>
  </si>
  <si>
    <t>오사카</t>
  </si>
  <si>
    <t>서울</t>
  </si>
  <si>
    <t>시즈오카</t>
  </si>
  <si>
    <t>부산</t>
  </si>
  <si>
    <t>울산</t>
  </si>
  <si>
    <t>울산</t>
  </si>
  <si>
    <t>사이타마</t>
  </si>
  <si>
    <t>수원</t>
  </si>
  <si>
    <t>전주</t>
  </si>
  <si>
    <t>이바라키</t>
  </si>
  <si>
    <t>인천</t>
  </si>
  <si>
    <t>오이타</t>
  </si>
  <si>
    <t>사이타마</t>
  </si>
  <si>
    <t>대구</t>
  </si>
  <si>
    <t>득점</t>
  </si>
  <si>
    <t>실점</t>
  </si>
  <si>
    <t>득실차</t>
  </si>
  <si>
    <t>경기수</t>
  </si>
  <si>
    <t>승</t>
  </si>
  <si>
    <t>무승부</t>
  </si>
  <si>
    <t>패</t>
  </si>
  <si>
    <t>승점</t>
  </si>
  <si>
    <t>일자</t>
  </si>
  <si>
    <t>시간</t>
  </si>
  <si>
    <t>장소</t>
  </si>
  <si>
    <t>날짜</t>
  </si>
  <si>
    <t>지역</t>
  </si>
  <si>
    <t>서울</t>
  </si>
  <si>
    <t>사이타마</t>
  </si>
  <si>
    <t>대구</t>
  </si>
  <si>
    <r>
      <t>3-4</t>
    </r>
    <r>
      <rPr>
        <b/>
        <sz val="7"/>
        <color indexed="9"/>
        <rFont val="돋움"/>
        <family val="3"/>
      </rPr>
      <t>위전</t>
    </r>
  </si>
  <si>
    <t>요코하마</t>
  </si>
  <si>
    <t>결승</t>
  </si>
  <si>
    <r>
      <t>16</t>
    </r>
    <r>
      <rPr>
        <b/>
        <sz val="7"/>
        <color indexed="9"/>
        <rFont val="돋움"/>
        <family val="3"/>
      </rPr>
      <t>강</t>
    </r>
  </si>
  <si>
    <r>
      <t>8</t>
    </r>
    <r>
      <rPr>
        <b/>
        <sz val="7"/>
        <color indexed="9"/>
        <rFont val="돋움"/>
        <family val="3"/>
      </rPr>
      <t>강</t>
    </r>
  </si>
  <si>
    <t>준결승</t>
  </si>
  <si>
    <t>서귀포</t>
  </si>
  <si>
    <t>니가타</t>
  </si>
  <si>
    <t>오이타</t>
  </si>
  <si>
    <t>수원</t>
  </si>
  <si>
    <t>전주</t>
  </si>
  <si>
    <t>고베</t>
  </si>
  <si>
    <t>미야기</t>
  </si>
  <si>
    <t>대전</t>
  </si>
  <si>
    <t>시즈오카</t>
  </si>
  <si>
    <t>울산</t>
  </si>
  <si>
    <t>광주</t>
  </si>
  <si>
    <t>오사카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</si>
</sst>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d\-mmm"/>
    <numFmt numFmtId="183" formatCode="[$-412]AM/PM\ h:mm:ss"/>
    <numFmt numFmtId="184" formatCode="[$-412]yyyy&quot;년&quot;\ m&quot;월&quot;\ d&quot;일&quot;\ dddd"/>
    <numFmt numFmtId="185" formatCode="d/mmm"/>
    <numFmt numFmtId="186" formatCode="m&quot;/&quot;d;@"/>
    <numFmt numFmtId="187" formatCode="mm&quot;월&quot;\ dd&quot;일&quot;"/>
  </numFmts>
  <fonts count="1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0"/>
      <color indexed="13"/>
      <name val="Arial"/>
      <family val="2"/>
    </font>
    <font>
      <b/>
      <sz val="7"/>
      <color indexed="9"/>
      <name val="돋움"/>
      <family val="3"/>
    </font>
    <font>
      <sz val="7"/>
      <name val="돋움"/>
      <family val="3"/>
    </font>
    <font>
      <b/>
      <sz val="7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20" fontId="4" fillId="0" borderId="0" xfId="0" applyNumberFormat="1" applyFont="1" applyAlignment="1" applyProtection="1">
      <alignment/>
      <protection locked="0"/>
    </xf>
    <xf numFmtId="182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82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182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0" fillId="0" borderId="0" xfId="0" applyNumberFormat="1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center" vertical="center"/>
    </xf>
    <xf numFmtId="0" fontId="2" fillId="0" borderId="0" xfId="2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186" fontId="4" fillId="0" borderId="0" xfId="0" applyNumberFormat="1" applyFont="1" applyBorder="1" applyAlignment="1" applyProtection="1">
      <alignment horizontal="center"/>
      <protection locked="0"/>
    </xf>
    <xf numFmtId="182" fontId="10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82" fontId="3" fillId="3" borderId="0" xfId="0" applyNumberFormat="1" applyFont="1" applyFill="1" applyBorder="1" applyAlignment="1" applyProtection="1">
      <alignment horizontal="left"/>
      <protection locked="0"/>
    </xf>
    <xf numFmtId="182" fontId="10" fillId="3" borderId="0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ansys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1"/>
  <sheetViews>
    <sheetView showGridLines="0" tabSelected="1" workbookViewId="0" topLeftCell="A1">
      <selection activeCell="F30" sqref="F30"/>
    </sheetView>
  </sheetViews>
  <sheetFormatPr defaultColWidth="9.140625" defaultRowHeight="12.75"/>
  <cols>
    <col min="1" max="1" width="3.8515625" style="15" customWidth="1"/>
    <col min="2" max="2" width="4.28125" style="2" customWidth="1"/>
    <col min="3" max="3" width="8.8515625" style="1" customWidth="1"/>
    <col min="4" max="4" width="0.2890625" style="1" customWidth="1"/>
    <col min="5" max="6" width="2.140625" style="2" customWidth="1"/>
    <col min="7" max="7" width="0.5625" style="2" customWidth="1"/>
    <col min="8" max="8" width="8.8515625" style="1" customWidth="1"/>
    <col min="9" max="9" width="6.7109375" style="1" customWidth="1"/>
    <col min="10" max="10" width="3.7109375" style="2" customWidth="1"/>
    <col min="11" max="11" width="3.7109375" style="1" hidden="1" customWidth="1"/>
    <col min="12" max="12" width="6.7109375" style="1" hidden="1" customWidth="1"/>
    <col min="13" max="14" width="3.00390625" style="2" hidden="1" customWidth="1"/>
    <col min="15" max="18" width="3.7109375" style="2" hidden="1" customWidth="1"/>
    <col min="19" max="19" width="3.7109375" style="1" hidden="1" customWidth="1"/>
    <col min="20" max="25" width="3.7109375" style="2" hidden="1" customWidth="1"/>
    <col min="26" max="26" width="3.7109375" style="1" hidden="1" customWidth="1"/>
    <col min="27" max="27" width="4.140625" style="1" hidden="1" customWidth="1"/>
    <col min="28" max="28" width="5.140625" style="1" hidden="1" customWidth="1"/>
    <col min="29" max="29" width="4.421875" style="3" hidden="1" customWidth="1"/>
    <col min="30" max="30" width="8.28125" style="1" hidden="1" customWidth="1"/>
    <col min="31" max="31" width="2.7109375" style="2" hidden="1" customWidth="1"/>
    <col min="32" max="32" width="5.28125" style="1" hidden="1" customWidth="1"/>
    <col min="33" max="33" width="2.7109375" style="2" hidden="1" customWidth="1"/>
    <col min="34" max="34" width="6.8515625" style="1" hidden="1" customWidth="1"/>
    <col min="35" max="36" width="5.28125" style="1" hidden="1" customWidth="1"/>
    <col min="37" max="37" width="3.8515625" style="3" hidden="1" customWidth="1"/>
    <col min="38" max="38" width="7.8515625" style="1" hidden="1" customWidth="1"/>
    <col min="39" max="39" width="2.7109375" style="2" hidden="1" customWidth="1"/>
    <col min="40" max="40" width="5.28125" style="1" hidden="1" customWidth="1"/>
    <col min="41" max="41" width="2.7109375" style="2" hidden="1" customWidth="1"/>
    <col min="42" max="42" width="10.7109375" style="1" hidden="1" customWidth="1"/>
    <col min="43" max="16384" width="9.140625" style="1" customWidth="1"/>
  </cols>
  <sheetData>
    <row r="1" spans="1:10" ht="9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0.5">
      <c r="A2" s="38" t="s">
        <v>80</v>
      </c>
      <c r="B2" s="39" t="s">
        <v>81</v>
      </c>
      <c r="C2" s="5"/>
      <c r="D2" s="5"/>
      <c r="E2" s="5"/>
      <c r="F2" s="5"/>
      <c r="G2" s="5"/>
      <c r="H2" s="5"/>
      <c r="I2" s="39" t="s">
        <v>82</v>
      </c>
      <c r="J2" s="39" t="s">
        <v>83</v>
      </c>
    </row>
    <row r="3" spans="1:25" ht="10.5" thickBot="1">
      <c r="A3" s="6"/>
      <c r="B3" s="7"/>
      <c r="C3" s="7"/>
      <c r="D3" s="7"/>
      <c r="E3" s="7"/>
      <c r="F3" s="7"/>
      <c r="G3" s="7"/>
      <c r="H3" s="7"/>
      <c r="I3" s="7"/>
      <c r="J3" s="7"/>
      <c r="M3" s="2" t="s">
        <v>4</v>
      </c>
      <c r="N3" s="2" t="s">
        <v>5</v>
      </c>
      <c r="O3" s="2" t="s">
        <v>6</v>
      </c>
      <c r="P3" s="2" t="s">
        <v>7</v>
      </c>
      <c r="Q3" s="2" t="s">
        <v>8</v>
      </c>
      <c r="R3" s="2" t="s">
        <v>9</v>
      </c>
      <c r="T3" s="2" t="s">
        <v>4</v>
      </c>
      <c r="U3" s="2" t="s">
        <v>5</v>
      </c>
      <c r="V3" s="2" t="s">
        <v>6</v>
      </c>
      <c r="W3" s="2" t="s">
        <v>7</v>
      </c>
      <c r="X3" s="2" t="s">
        <v>8</v>
      </c>
      <c r="Y3" s="2" t="s">
        <v>9</v>
      </c>
    </row>
    <row r="4" spans="1:42" ht="11.25" thickBot="1">
      <c r="A4" s="37">
        <v>37407</v>
      </c>
      <c r="B4" s="8">
        <v>0.8541666666666666</v>
      </c>
      <c r="C4" s="9" t="s">
        <v>10</v>
      </c>
      <c r="D4" s="9"/>
      <c r="E4" s="10">
        <v>0</v>
      </c>
      <c r="F4" s="11">
        <v>1</v>
      </c>
      <c r="G4" s="12"/>
      <c r="H4" s="13" t="s">
        <v>11</v>
      </c>
      <c r="I4" s="40" t="s">
        <v>84</v>
      </c>
      <c r="J4" s="12" t="s">
        <v>9</v>
      </c>
      <c r="L4" s="1" t="str">
        <f aca="true" t="shared" si="0" ref="L4:L51">C4</f>
        <v>France</v>
      </c>
      <c r="M4" s="2">
        <f aca="true" t="shared" si="1" ref="M4:M51">IF(AND(ISNUMBER(E4),ISNUMBER(F4)),1,0)</f>
        <v>1</v>
      </c>
      <c r="N4" s="2">
        <f aca="true" t="shared" si="2" ref="N4:N51">IF($E4&gt;$F4,1,0)*$M4</f>
        <v>0</v>
      </c>
      <c r="O4" s="2">
        <f aca="true" t="shared" si="3" ref="O4:O51">IF($E4=$F4,1,0)*$M4</f>
        <v>0</v>
      </c>
      <c r="P4" s="2">
        <f aca="true" t="shared" si="4" ref="P4:P51">IF($E4&lt;$F4,1,0)*$M4</f>
        <v>1</v>
      </c>
      <c r="Q4" s="2">
        <f aca="true" t="shared" si="5" ref="Q4:Q51">E4*$M4</f>
        <v>0</v>
      </c>
      <c r="R4" s="2">
        <f aca="true" t="shared" si="6" ref="R4:R51">F4*$M4</f>
        <v>1</v>
      </c>
      <c r="S4" s="1" t="str">
        <f aca="true" t="shared" si="7" ref="S4:S51">H4</f>
        <v>Senegal</v>
      </c>
      <c r="T4" s="2">
        <f aca="true" t="shared" si="8" ref="T4:T51">M4</f>
        <v>1</v>
      </c>
      <c r="U4" s="2">
        <f aca="true" t="shared" si="9" ref="U4:U51">IF($E4&lt;$F4,1,0)*$T4</f>
        <v>1</v>
      </c>
      <c r="V4" s="2">
        <f aca="true" t="shared" si="10" ref="V4:V51">IF($E4=$F4,1,0)*$T4</f>
        <v>0</v>
      </c>
      <c r="W4" s="2">
        <f aca="true" t="shared" si="11" ref="W4:W51">IF($E4&gt;$F4,1,0)*$T4</f>
        <v>0</v>
      </c>
      <c r="X4" s="2">
        <f aca="true" t="shared" si="12" ref="X4:X51">F4*$T4</f>
        <v>1</v>
      </c>
      <c r="Y4" s="2">
        <f aca="true" t="shared" si="13" ref="Y4:Y51">E4*$T4</f>
        <v>0</v>
      </c>
      <c r="AA4" s="1">
        <f aca="true" t="shared" si="14" ref="AA4:AA19">100+VLOOKUP(AD4,TeamToNum,2,FALSE)</f>
        <v>111</v>
      </c>
      <c r="AB4" s="14">
        <f aca="true" t="shared" si="15" ref="AB4:AB51">A4</f>
        <v>37407</v>
      </c>
      <c r="AC4" s="3">
        <f aca="true" t="shared" si="16" ref="AC4:AC51">B4</f>
        <v>0.8541666666666666</v>
      </c>
      <c r="AD4" s="1" t="str">
        <f aca="true" t="shared" si="17" ref="AD4:AD51">C4</f>
        <v>France</v>
      </c>
      <c r="AE4" s="2">
        <f aca="true" t="shared" si="18" ref="AE4:AE51">IF(E4="","",E4)</f>
        <v>0</v>
      </c>
      <c r="AF4" s="1" t="str">
        <f aca="true" t="shared" si="19" ref="AF4:AF51">H4</f>
        <v>Senegal</v>
      </c>
      <c r="AG4" s="2">
        <f aca="true" t="shared" si="20" ref="AG4:AG51">IF(F4="","",F4)</f>
        <v>1</v>
      </c>
      <c r="AH4" s="1" t="str">
        <f aca="true" t="shared" si="21" ref="AH4:AH51">J4</f>
        <v>A</v>
      </c>
      <c r="AI4" s="1">
        <f aca="true" t="shared" si="22" ref="AI4:AI19">100+VLOOKUP(AL4,TeamToNum,2,FALSE)</f>
        <v>123</v>
      </c>
      <c r="AJ4" s="14">
        <f aca="true" t="shared" si="23" ref="AJ4:AJ51">A4</f>
        <v>37407</v>
      </c>
      <c r="AK4" s="3">
        <f aca="true" t="shared" si="24" ref="AK4:AK51">B4</f>
        <v>0.8541666666666666</v>
      </c>
      <c r="AL4" s="1" t="str">
        <f aca="true" t="shared" si="25" ref="AL4:AL51">H4</f>
        <v>Senegal</v>
      </c>
      <c r="AM4" s="2">
        <f aca="true" t="shared" si="26" ref="AM4:AM51">IF(F4="","",F4)</f>
        <v>1</v>
      </c>
      <c r="AN4" s="1" t="str">
        <f aca="true" t="shared" si="27" ref="AN4:AN51">C4</f>
        <v>France</v>
      </c>
      <c r="AO4" s="2">
        <f aca="true" t="shared" si="28" ref="AO4:AO51">IF(E4="","",E4)</f>
        <v>0</v>
      </c>
      <c r="AP4" s="1" t="str">
        <f aca="true" t="shared" si="29" ref="AP4:AP51">J4</f>
        <v>A</v>
      </c>
    </row>
    <row r="5" spans="1:42" ht="11.25" thickBot="1">
      <c r="A5" s="37">
        <v>37408</v>
      </c>
      <c r="B5" s="8">
        <v>0.6458333333333334</v>
      </c>
      <c r="C5" s="9" t="s">
        <v>12</v>
      </c>
      <c r="D5" s="9"/>
      <c r="E5" s="10">
        <v>1</v>
      </c>
      <c r="F5" s="11">
        <v>1</v>
      </c>
      <c r="G5" s="12"/>
      <c r="H5" s="13" t="s">
        <v>13</v>
      </c>
      <c r="I5" s="40" t="s">
        <v>97</v>
      </c>
      <c r="J5" s="12" t="s">
        <v>14</v>
      </c>
      <c r="L5" s="1" t="str">
        <f t="shared" si="0"/>
        <v>Ireland</v>
      </c>
      <c r="M5" s="2">
        <f t="shared" si="1"/>
        <v>1</v>
      </c>
      <c r="N5" s="2">
        <f t="shared" si="2"/>
        <v>0</v>
      </c>
      <c r="O5" s="2">
        <f t="shared" si="3"/>
        <v>1</v>
      </c>
      <c r="P5" s="2">
        <f t="shared" si="4"/>
        <v>0</v>
      </c>
      <c r="Q5" s="2">
        <f t="shared" si="5"/>
        <v>1</v>
      </c>
      <c r="R5" s="2">
        <f t="shared" si="6"/>
        <v>1</v>
      </c>
      <c r="S5" s="1" t="str">
        <f t="shared" si="7"/>
        <v>Cameroon</v>
      </c>
      <c r="T5" s="2">
        <f t="shared" si="8"/>
        <v>1</v>
      </c>
      <c r="U5" s="2">
        <f t="shared" si="9"/>
        <v>0</v>
      </c>
      <c r="V5" s="2">
        <f t="shared" si="10"/>
        <v>1</v>
      </c>
      <c r="W5" s="2">
        <f t="shared" si="11"/>
        <v>0</v>
      </c>
      <c r="X5" s="2">
        <f t="shared" si="12"/>
        <v>1</v>
      </c>
      <c r="Y5" s="2">
        <f t="shared" si="13"/>
        <v>1</v>
      </c>
      <c r="AA5" s="1">
        <f t="shared" si="14"/>
        <v>113</v>
      </c>
      <c r="AB5" s="14">
        <f t="shared" si="15"/>
        <v>37408</v>
      </c>
      <c r="AC5" s="3">
        <f t="shared" si="16"/>
        <v>0.6458333333333334</v>
      </c>
      <c r="AD5" s="1" t="str">
        <f t="shared" si="17"/>
        <v>Ireland</v>
      </c>
      <c r="AE5" s="2">
        <f t="shared" si="18"/>
        <v>1</v>
      </c>
      <c r="AF5" s="1" t="str">
        <f t="shared" si="19"/>
        <v>Cameroon</v>
      </c>
      <c r="AG5" s="2">
        <f t="shared" si="20"/>
        <v>1</v>
      </c>
      <c r="AH5" s="1" t="str">
        <f t="shared" si="21"/>
        <v>E</v>
      </c>
      <c r="AI5" s="1">
        <f t="shared" si="22"/>
        <v>104</v>
      </c>
      <c r="AJ5" s="14">
        <f t="shared" si="23"/>
        <v>37408</v>
      </c>
      <c r="AK5" s="3">
        <f t="shared" si="24"/>
        <v>0.6458333333333334</v>
      </c>
      <c r="AL5" s="1" t="str">
        <f t="shared" si="25"/>
        <v>Cameroon</v>
      </c>
      <c r="AM5" s="2">
        <f t="shared" si="26"/>
        <v>1</v>
      </c>
      <c r="AN5" s="1" t="str">
        <f t="shared" si="27"/>
        <v>Ireland</v>
      </c>
      <c r="AO5" s="2">
        <f t="shared" si="28"/>
        <v>1</v>
      </c>
      <c r="AP5" s="1" t="str">
        <f t="shared" si="29"/>
        <v>E</v>
      </c>
    </row>
    <row r="6" spans="1:42" ht="11.25" thickBot="1">
      <c r="A6" s="37">
        <v>37408</v>
      </c>
      <c r="B6" s="8">
        <v>0.75</v>
      </c>
      <c r="C6" s="9" t="s">
        <v>15</v>
      </c>
      <c r="D6" s="9"/>
      <c r="E6" s="10">
        <v>1</v>
      </c>
      <c r="F6" s="11">
        <v>2</v>
      </c>
      <c r="G6" s="12"/>
      <c r="H6" s="13" t="s">
        <v>16</v>
      </c>
      <c r="I6" s="40" t="s">
        <v>108</v>
      </c>
      <c r="J6" s="12" t="s">
        <v>9</v>
      </c>
      <c r="L6" s="1" t="str">
        <f t="shared" si="0"/>
        <v>Uruguay</v>
      </c>
      <c r="M6" s="2">
        <f t="shared" si="1"/>
        <v>1</v>
      </c>
      <c r="N6" s="2">
        <f t="shared" si="2"/>
        <v>0</v>
      </c>
      <c r="O6" s="2">
        <f t="shared" si="3"/>
        <v>0</v>
      </c>
      <c r="P6" s="2">
        <f t="shared" si="4"/>
        <v>1</v>
      </c>
      <c r="Q6" s="2">
        <f t="shared" si="5"/>
        <v>1</v>
      </c>
      <c r="R6" s="2">
        <f t="shared" si="6"/>
        <v>2</v>
      </c>
      <c r="S6" s="1" t="str">
        <f t="shared" si="7"/>
        <v>Denmark</v>
      </c>
      <c r="T6" s="2">
        <f t="shared" si="8"/>
        <v>1</v>
      </c>
      <c r="U6" s="2">
        <f t="shared" si="9"/>
        <v>1</v>
      </c>
      <c r="V6" s="2">
        <f t="shared" si="10"/>
        <v>0</v>
      </c>
      <c r="W6" s="2">
        <f t="shared" si="11"/>
        <v>0</v>
      </c>
      <c r="X6" s="2">
        <f t="shared" si="12"/>
        <v>2</v>
      </c>
      <c r="Y6" s="2">
        <f t="shared" si="13"/>
        <v>1</v>
      </c>
      <c r="AA6" s="1">
        <f t="shared" si="14"/>
        <v>131</v>
      </c>
      <c r="AB6" s="14">
        <f t="shared" si="15"/>
        <v>37408</v>
      </c>
      <c r="AC6" s="3">
        <f t="shared" si="16"/>
        <v>0.75</v>
      </c>
      <c r="AD6" s="1" t="str">
        <f t="shared" si="17"/>
        <v>Uruguay</v>
      </c>
      <c r="AE6" s="2">
        <f t="shared" si="18"/>
        <v>1</v>
      </c>
      <c r="AF6" s="1" t="str">
        <f t="shared" si="19"/>
        <v>Denmark</v>
      </c>
      <c r="AG6" s="2">
        <f t="shared" si="20"/>
        <v>2</v>
      </c>
      <c r="AH6" s="1" t="str">
        <f t="shared" si="21"/>
        <v>A</v>
      </c>
      <c r="AI6" s="1">
        <f t="shared" si="22"/>
        <v>108</v>
      </c>
      <c r="AJ6" s="14">
        <f t="shared" si="23"/>
        <v>37408</v>
      </c>
      <c r="AK6" s="3">
        <f t="shared" si="24"/>
        <v>0.75</v>
      </c>
      <c r="AL6" s="1" t="str">
        <f t="shared" si="25"/>
        <v>Denmark</v>
      </c>
      <c r="AM6" s="2">
        <f t="shared" si="26"/>
        <v>2</v>
      </c>
      <c r="AN6" s="1" t="str">
        <f t="shared" si="27"/>
        <v>Uruguay</v>
      </c>
      <c r="AO6" s="2">
        <f t="shared" si="28"/>
        <v>1</v>
      </c>
      <c r="AP6" s="1" t="str">
        <f t="shared" si="29"/>
        <v>A</v>
      </c>
    </row>
    <row r="7" spans="1:42" ht="11.25" thickBot="1">
      <c r="A7" s="37">
        <v>37408</v>
      </c>
      <c r="B7" s="8">
        <v>0.8541666666666666</v>
      </c>
      <c r="C7" s="9" t="s">
        <v>17</v>
      </c>
      <c r="D7" s="9"/>
      <c r="E7" s="10">
        <v>8</v>
      </c>
      <c r="F7" s="11">
        <v>0</v>
      </c>
      <c r="G7" s="12"/>
      <c r="H7" s="13" t="s">
        <v>18</v>
      </c>
      <c r="I7" s="40" t="s">
        <v>85</v>
      </c>
      <c r="J7" s="12" t="s">
        <v>14</v>
      </c>
      <c r="L7" s="1" t="str">
        <f t="shared" si="0"/>
        <v>Germany</v>
      </c>
      <c r="M7" s="2">
        <f t="shared" si="1"/>
        <v>1</v>
      </c>
      <c r="N7" s="2">
        <f t="shared" si="2"/>
        <v>1</v>
      </c>
      <c r="O7" s="2">
        <f t="shared" si="3"/>
        <v>0</v>
      </c>
      <c r="P7" s="2">
        <f t="shared" si="4"/>
        <v>0</v>
      </c>
      <c r="Q7" s="2">
        <f t="shared" si="5"/>
        <v>8</v>
      </c>
      <c r="R7" s="2">
        <f t="shared" si="6"/>
        <v>0</v>
      </c>
      <c r="S7" s="1" t="str">
        <f t="shared" si="7"/>
        <v>Saudi Arabia</v>
      </c>
      <c r="T7" s="2">
        <f t="shared" si="8"/>
        <v>1</v>
      </c>
      <c r="U7" s="2">
        <f t="shared" si="9"/>
        <v>0</v>
      </c>
      <c r="V7" s="2">
        <f t="shared" si="10"/>
        <v>0</v>
      </c>
      <c r="W7" s="2">
        <f t="shared" si="11"/>
        <v>1</v>
      </c>
      <c r="X7" s="2">
        <f t="shared" si="12"/>
        <v>0</v>
      </c>
      <c r="Y7" s="2">
        <f t="shared" si="13"/>
        <v>8</v>
      </c>
      <c r="AA7" s="1">
        <f t="shared" si="14"/>
        <v>112</v>
      </c>
      <c r="AB7" s="14">
        <f t="shared" si="15"/>
        <v>37408</v>
      </c>
      <c r="AC7" s="3">
        <f t="shared" si="16"/>
        <v>0.8541666666666666</v>
      </c>
      <c r="AD7" s="1" t="str">
        <f t="shared" si="17"/>
        <v>Germany</v>
      </c>
      <c r="AE7" s="2">
        <f t="shared" si="18"/>
        <v>8</v>
      </c>
      <c r="AF7" s="1" t="str">
        <f t="shared" si="19"/>
        <v>Saudi Arabia</v>
      </c>
      <c r="AG7" s="2">
        <f t="shared" si="20"/>
        <v>0</v>
      </c>
      <c r="AH7" s="1" t="str">
        <f t="shared" si="21"/>
        <v>E</v>
      </c>
      <c r="AI7" s="1">
        <f t="shared" si="22"/>
        <v>122</v>
      </c>
      <c r="AJ7" s="14">
        <f t="shared" si="23"/>
        <v>37408</v>
      </c>
      <c r="AK7" s="3">
        <f t="shared" si="24"/>
        <v>0.8541666666666666</v>
      </c>
      <c r="AL7" s="1" t="str">
        <f t="shared" si="25"/>
        <v>Saudi Arabia</v>
      </c>
      <c r="AM7" s="2">
        <f t="shared" si="26"/>
        <v>0</v>
      </c>
      <c r="AN7" s="1" t="str">
        <f t="shared" si="27"/>
        <v>Germany</v>
      </c>
      <c r="AO7" s="2">
        <f t="shared" si="28"/>
        <v>8</v>
      </c>
      <c r="AP7" s="1" t="str">
        <f t="shared" si="29"/>
        <v>E</v>
      </c>
    </row>
    <row r="8" spans="1:42" ht="11.25" thickBot="1">
      <c r="A8" s="37">
        <v>37409</v>
      </c>
      <c r="B8" s="8">
        <v>0.7708333333333334</v>
      </c>
      <c r="C8" s="9" t="s">
        <v>19</v>
      </c>
      <c r="D8" s="9"/>
      <c r="E8" s="10">
        <v>1</v>
      </c>
      <c r="F8" s="11">
        <v>1</v>
      </c>
      <c r="G8" s="12"/>
      <c r="H8" s="13" t="s">
        <v>20</v>
      </c>
      <c r="I8" s="40" t="s">
        <v>116</v>
      </c>
      <c r="J8" s="12" t="s">
        <v>8</v>
      </c>
      <c r="L8" s="1" t="str">
        <f t="shared" si="0"/>
        <v>England</v>
      </c>
      <c r="M8" s="2">
        <f t="shared" si="1"/>
        <v>1</v>
      </c>
      <c r="N8" s="2">
        <f t="shared" si="2"/>
        <v>0</v>
      </c>
      <c r="O8" s="2">
        <f t="shared" si="3"/>
        <v>1</v>
      </c>
      <c r="P8" s="2">
        <f t="shared" si="4"/>
        <v>0</v>
      </c>
      <c r="Q8" s="2">
        <f t="shared" si="5"/>
        <v>1</v>
      </c>
      <c r="R8" s="2">
        <f t="shared" si="6"/>
        <v>1</v>
      </c>
      <c r="S8" s="1" t="str">
        <f t="shared" si="7"/>
        <v>Sweden</v>
      </c>
      <c r="T8" s="2">
        <f t="shared" si="8"/>
        <v>1</v>
      </c>
      <c r="U8" s="2">
        <f t="shared" si="9"/>
        <v>0</v>
      </c>
      <c r="V8" s="2">
        <f t="shared" si="10"/>
        <v>1</v>
      </c>
      <c r="W8" s="2">
        <f t="shared" si="11"/>
        <v>0</v>
      </c>
      <c r="X8" s="2">
        <f t="shared" si="12"/>
        <v>1</v>
      </c>
      <c r="Y8" s="2">
        <f t="shared" si="13"/>
        <v>1</v>
      </c>
      <c r="AA8" s="1">
        <f t="shared" si="14"/>
        <v>110</v>
      </c>
      <c r="AB8" s="14">
        <f t="shared" si="15"/>
        <v>37409</v>
      </c>
      <c r="AC8" s="3">
        <f t="shared" si="16"/>
        <v>0.7708333333333334</v>
      </c>
      <c r="AD8" s="1" t="str">
        <f t="shared" si="17"/>
        <v>England</v>
      </c>
      <c r="AE8" s="2">
        <f t="shared" si="18"/>
        <v>1</v>
      </c>
      <c r="AF8" s="1" t="str">
        <f t="shared" si="19"/>
        <v>Sweden</v>
      </c>
      <c r="AG8" s="2">
        <f t="shared" si="20"/>
        <v>1</v>
      </c>
      <c r="AH8" s="1" t="str">
        <f t="shared" si="21"/>
        <v>F</v>
      </c>
      <c r="AI8" s="1">
        <f t="shared" si="22"/>
        <v>128</v>
      </c>
      <c r="AJ8" s="14">
        <f t="shared" si="23"/>
        <v>37409</v>
      </c>
      <c r="AK8" s="3">
        <f t="shared" si="24"/>
        <v>0.7708333333333334</v>
      </c>
      <c r="AL8" s="1" t="str">
        <f t="shared" si="25"/>
        <v>Sweden</v>
      </c>
      <c r="AM8" s="2">
        <f t="shared" si="26"/>
        <v>1</v>
      </c>
      <c r="AN8" s="1" t="str">
        <f t="shared" si="27"/>
        <v>England</v>
      </c>
      <c r="AO8" s="2">
        <f t="shared" si="28"/>
        <v>1</v>
      </c>
      <c r="AP8" s="1" t="str">
        <f t="shared" si="29"/>
        <v>F</v>
      </c>
    </row>
    <row r="9" spans="1:42" ht="11.25" thickBot="1">
      <c r="A9" s="37">
        <v>37409</v>
      </c>
      <c r="B9" s="8">
        <v>0.6875</v>
      </c>
      <c r="C9" s="9" t="s">
        <v>21</v>
      </c>
      <c r="D9" s="9"/>
      <c r="E9" s="10">
        <v>2</v>
      </c>
      <c r="F9" s="11">
        <v>2</v>
      </c>
      <c r="G9" s="12"/>
      <c r="H9" s="13" t="s">
        <v>22</v>
      </c>
      <c r="I9" s="40" t="s">
        <v>107</v>
      </c>
      <c r="J9" s="12" t="s">
        <v>23</v>
      </c>
      <c r="L9" s="1" t="str">
        <f t="shared" si="0"/>
        <v>Paraguay</v>
      </c>
      <c r="M9" s="2">
        <f t="shared" si="1"/>
        <v>1</v>
      </c>
      <c r="N9" s="2">
        <f t="shared" si="2"/>
        <v>0</v>
      </c>
      <c r="O9" s="2">
        <f t="shared" si="3"/>
        <v>1</v>
      </c>
      <c r="P9" s="2">
        <f t="shared" si="4"/>
        <v>0</v>
      </c>
      <c r="Q9" s="2">
        <f t="shared" si="5"/>
        <v>2</v>
      </c>
      <c r="R9" s="2">
        <f t="shared" si="6"/>
        <v>2</v>
      </c>
      <c r="S9" s="1" t="str">
        <f t="shared" si="7"/>
        <v>South Africa</v>
      </c>
      <c r="T9" s="2">
        <f t="shared" si="8"/>
        <v>1</v>
      </c>
      <c r="U9" s="2">
        <f t="shared" si="9"/>
        <v>0</v>
      </c>
      <c r="V9" s="2">
        <f t="shared" si="10"/>
        <v>1</v>
      </c>
      <c r="W9" s="2">
        <f t="shared" si="11"/>
        <v>0</v>
      </c>
      <c r="X9" s="2">
        <f t="shared" si="12"/>
        <v>2</v>
      </c>
      <c r="Y9" s="2">
        <f t="shared" si="13"/>
        <v>2</v>
      </c>
      <c r="AA9" s="1">
        <f t="shared" si="14"/>
        <v>118</v>
      </c>
      <c r="AB9" s="14">
        <f t="shared" si="15"/>
        <v>37409</v>
      </c>
      <c r="AC9" s="3">
        <f t="shared" si="16"/>
        <v>0.6875</v>
      </c>
      <c r="AD9" s="1" t="str">
        <f t="shared" si="17"/>
        <v>Paraguay</v>
      </c>
      <c r="AE9" s="2">
        <f t="shared" si="18"/>
        <v>2</v>
      </c>
      <c r="AF9" s="1" t="str">
        <f t="shared" si="19"/>
        <v>South Africa</v>
      </c>
      <c r="AG9" s="2">
        <f t="shared" si="20"/>
        <v>2</v>
      </c>
      <c r="AH9" s="1" t="str">
        <f t="shared" si="21"/>
        <v>B</v>
      </c>
      <c r="AI9" s="1">
        <f t="shared" si="22"/>
        <v>125</v>
      </c>
      <c r="AJ9" s="14">
        <f t="shared" si="23"/>
        <v>37409</v>
      </c>
      <c r="AK9" s="3">
        <f t="shared" si="24"/>
        <v>0.6875</v>
      </c>
      <c r="AL9" s="1" t="str">
        <f t="shared" si="25"/>
        <v>South Africa</v>
      </c>
      <c r="AM9" s="2">
        <f t="shared" si="26"/>
        <v>2</v>
      </c>
      <c r="AN9" s="1" t="str">
        <f t="shared" si="27"/>
        <v>Paraguay</v>
      </c>
      <c r="AO9" s="2">
        <f t="shared" si="28"/>
        <v>2</v>
      </c>
      <c r="AP9" s="1" t="str">
        <f t="shared" si="29"/>
        <v>B</v>
      </c>
    </row>
    <row r="10" spans="1:42" ht="11.25" thickBot="1">
      <c r="A10" s="37">
        <v>37409</v>
      </c>
      <c r="B10" s="8">
        <v>0.6041666666666666</v>
      </c>
      <c r="C10" s="9" t="s">
        <v>24</v>
      </c>
      <c r="D10" s="9"/>
      <c r="E10" s="10">
        <v>1</v>
      </c>
      <c r="F10" s="11">
        <v>0</v>
      </c>
      <c r="G10" s="12"/>
      <c r="H10" s="13" t="s">
        <v>25</v>
      </c>
      <c r="I10" s="40" t="s">
        <v>96</v>
      </c>
      <c r="J10" s="12" t="s">
        <v>8</v>
      </c>
      <c r="L10" s="1" t="str">
        <f t="shared" si="0"/>
        <v>Argentina</v>
      </c>
      <c r="M10" s="2">
        <f t="shared" si="1"/>
        <v>1</v>
      </c>
      <c r="N10" s="2">
        <f t="shared" si="2"/>
        <v>1</v>
      </c>
      <c r="O10" s="2">
        <f t="shared" si="3"/>
        <v>0</v>
      </c>
      <c r="P10" s="2">
        <f t="shared" si="4"/>
        <v>0</v>
      </c>
      <c r="Q10" s="2">
        <f t="shared" si="5"/>
        <v>1</v>
      </c>
      <c r="R10" s="2">
        <f t="shared" si="6"/>
        <v>0</v>
      </c>
      <c r="S10" s="1" t="str">
        <f t="shared" si="7"/>
        <v>Nigeria</v>
      </c>
      <c r="T10" s="2">
        <f t="shared" si="8"/>
        <v>1</v>
      </c>
      <c r="U10" s="2">
        <f t="shared" si="9"/>
        <v>0</v>
      </c>
      <c r="V10" s="2">
        <f t="shared" si="10"/>
        <v>0</v>
      </c>
      <c r="W10" s="2">
        <f t="shared" si="11"/>
        <v>1</v>
      </c>
      <c r="X10" s="2">
        <f t="shared" si="12"/>
        <v>0</v>
      </c>
      <c r="Y10" s="2">
        <f t="shared" si="13"/>
        <v>1</v>
      </c>
      <c r="AA10" s="1">
        <f t="shared" si="14"/>
        <v>101</v>
      </c>
      <c r="AB10" s="14">
        <f t="shared" si="15"/>
        <v>37409</v>
      </c>
      <c r="AC10" s="3">
        <f t="shared" si="16"/>
        <v>0.6041666666666666</v>
      </c>
      <c r="AD10" s="1" t="str">
        <f t="shared" si="17"/>
        <v>Argentina</v>
      </c>
      <c r="AE10" s="2">
        <f t="shared" si="18"/>
        <v>1</v>
      </c>
      <c r="AF10" s="1" t="str">
        <f t="shared" si="19"/>
        <v>Nigeria</v>
      </c>
      <c r="AG10" s="2">
        <f t="shared" si="20"/>
        <v>0</v>
      </c>
      <c r="AH10" s="1" t="str">
        <f t="shared" si="21"/>
        <v>F</v>
      </c>
      <c r="AI10" s="1">
        <f t="shared" si="22"/>
        <v>117</v>
      </c>
      <c r="AJ10" s="14">
        <f t="shared" si="23"/>
        <v>37409</v>
      </c>
      <c r="AK10" s="3">
        <f t="shared" si="24"/>
        <v>0.6041666666666666</v>
      </c>
      <c r="AL10" s="1" t="str">
        <f t="shared" si="25"/>
        <v>Nigeria</v>
      </c>
      <c r="AM10" s="2">
        <f t="shared" si="26"/>
        <v>0</v>
      </c>
      <c r="AN10" s="1" t="str">
        <f t="shared" si="27"/>
        <v>Argentina</v>
      </c>
      <c r="AO10" s="2">
        <f t="shared" si="28"/>
        <v>1</v>
      </c>
      <c r="AP10" s="1" t="str">
        <f t="shared" si="29"/>
        <v>F</v>
      </c>
    </row>
    <row r="11" spans="1:42" ht="11.25" thickBot="1">
      <c r="A11" s="37">
        <v>37409</v>
      </c>
      <c r="B11" s="8">
        <v>0.8541666666666666</v>
      </c>
      <c r="C11" s="9" t="s">
        <v>26</v>
      </c>
      <c r="D11" s="9"/>
      <c r="E11" s="10">
        <v>3</v>
      </c>
      <c r="F11" s="11">
        <v>1</v>
      </c>
      <c r="G11" s="12"/>
      <c r="H11" s="13" t="s">
        <v>27</v>
      </c>
      <c r="I11" s="40" t="s">
        <v>86</v>
      </c>
      <c r="J11" s="12" t="s">
        <v>23</v>
      </c>
      <c r="L11" s="1" t="str">
        <f t="shared" si="0"/>
        <v>Spain</v>
      </c>
      <c r="M11" s="2">
        <f t="shared" si="1"/>
        <v>1</v>
      </c>
      <c r="N11" s="2">
        <f t="shared" si="2"/>
        <v>1</v>
      </c>
      <c r="O11" s="2">
        <f t="shared" si="3"/>
        <v>0</v>
      </c>
      <c r="P11" s="2">
        <f t="shared" si="4"/>
        <v>0</v>
      </c>
      <c r="Q11" s="2">
        <f t="shared" si="5"/>
        <v>3</v>
      </c>
      <c r="R11" s="2">
        <f t="shared" si="6"/>
        <v>1</v>
      </c>
      <c r="S11" s="1" t="str">
        <f t="shared" si="7"/>
        <v>Slovenia</v>
      </c>
      <c r="T11" s="2">
        <f t="shared" si="8"/>
        <v>1</v>
      </c>
      <c r="U11" s="2">
        <f t="shared" si="9"/>
        <v>0</v>
      </c>
      <c r="V11" s="2">
        <f t="shared" si="10"/>
        <v>0</v>
      </c>
      <c r="W11" s="2">
        <f t="shared" si="11"/>
        <v>1</v>
      </c>
      <c r="X11" s="2">
        <f t="shared" si="12"/>
        <v>1</v>
      </c>
      <c r="Y11" s="2">
        <f t="shared" si="13"/>
        <v>3</v>
      </c>
      <c r="AA11" s="1">
        <f t="shared" si="14"/>
        <v>127</v>
      </c>
      <c r="AB11" s="14">
        <f t="shared" si="15"/>
        <v>37409</v>
      </c>
      <c r="AC11" s="3">
        <f t="shared" si="16"/>
        <v>0.8541666666666666</v>
      </c>
      <c r="AD11" s="1" t="str">
        <f t="shared" si="17"/>
        <v>Spain</v>
      </c>
      <c r="AE11" s="2">
        <f t="shared" si="18"/>
        <v>3</v>
      </c>
      <c r="AF11" s="1" t="str">
        <f t="shared" si="19"/>
        <v>Slovenia</v>
      </c>
      <c r="AG11" s="2">
        <f t="shared" si="20"/>
        <v>1</v>
      </c>
      <c r="AH11" s="1" t="str">
        <f t="shared" si="21"/>
        <v>B</v>
      </c>
      <c r="AI11" s="1">
        <f t="shared" si="22"/>
        <v>124</v>
      </c>
      <c r="AJ11" s="14">
        <f t="shared" si="23"/>
        <v>37409</v>
      </c>
      <c r="AK11" s="3">
        <f t="shared" si="24"/>
        <v>0.8541666666666666</v>
      </c>
      <c r="AL11" s="1" t="str">
        <f t="shared" si="25"/>
        <v>Slovenia</v>
      </c>
      <c r="AM11" s="2">
        <f t="shared" si="26"/>
        <v>1</v>
      </c>
      <c r="AN11" s="1" t="str">
        <f t="shared" si="27"/>
        <v>Spain</v>
      </c>
      <c r="AO11" s="2">
        <f t="shared" si="28"/>
        <v>3</v>
      </c>
      <c r="AP11" s="1" t="str">
        <f t="shared" si="29"/>
        <v>B</v>
      </c>
    </row>
    <row r="12" spans="1:42" ht="11.25" thickBot="1">
      <c r="A12" s="37">
        <v>37410</v>
      </c>
      <c r="B12" s="8">
        <v>0.6458333333333334</v>
      </c>
      <c r="C12" s="9" t="s">
        <v>28</v>
      </c>
      <c r="D12" s="9"/>
      <c r="E12" s="10">
        <v>0</v>
      </c>
      <c r="F12" s="11">
        <v>1</v>
      </c>
      <c r="G12" s="12"/>
      <c r="H12" s="13" t="s">
        <v>29</v>
      </c>
      <c r="I12" s="40" t="s">
        <v>97</v>
      </c>
      <c r="J12" s="12" t="s">
        <v>30</v>
      </c>
      <c r="L12" s="1" t="str">
        <f t="shared" si="0"/>
        <v>Croatia</v>
      </c>
      <c r="M12" s="2">
        <f t="shared" si="1"/>
        <v>1</v>
      </c>
      <c r="N12" s="2">
        <f t="shared" si="2"/>
        <v>0</v>
      </c>
      <c r="O12" s="2">
        <f t="shared" si="3"/>
        <v>0</v>
      </c>
      <c r="P12" s="2">
        <f t="shared" si="4"/>
        <v>1</v>
      </c>
      <c r="Q12" s="2">
        <f t="shared" si="5"/>
        <v>0</v>
      </c>
      <c r="R12" s="2">
        <f t="shared" si="6"/>
        <v>1</v>
      </c>
      <c r="S12" s="1" t="str">
        <f t="shared" si="7"/>
        <v>Mexico</v>
      </c>
      <c r="T12" s="2">
        <f t="shared" si="8"/>
        <v>1</v>
      </c>
      <c r="U12" s="2">
        <f t="shared" si="9"/>
        <v>1</v>
      </c>
      <c r="V12" s="2">
        <f t="shared" si="10"/>
        <v>0</v>
      </c>
      <c r="W12" s="2">
        <f t="shared" si="11"/>
        <v>0</v>
      </c>
      <c r="X12" s="2">
        <f t="shared" si="12"/>
        <v>1</v>
      </c>
      <c r="Y12" s="2">
        <f t="shared" si="13"/>
        <v>0</v>
      </c>
      <c r="AA12" s="1">
        <f t="shared" si="14"/>
        <v>107</v>
      </c>
      <c r="AB12" s="14">
        <f t="shared" si="15"/>
        <v>37410</v>
      </c>
      <c r="AC12" s="3">
        <f t="shared" si="16"/>
        <v>0.6458333333333334</v>
      </c>
      <c r="AD12" s="1" t="str">
        <f t="shared" si="17"/>
        <v>Croatia</v>
      </c>
      <c r="AE12" s="2">
        <f t="shared" si="18"/>
        <v>0</v>
      </c>
      <c r="AF12" s="1" t="str">
        <f t="shared" si="19"/>
        <v>Mexico</v>
      </c>
      <c r="AG12" s="2">
        <f t="shared" si="20"/>
        <v>1</v>
      </c>
      <c r="AH12" s="1" t="str">
        <f t="shared" si="21"/>
        <v>G</v>
      </c>
      <c r="AI12" s="1">
        <f t="shared" si="22"/>
        <v>116</v>
      </c>
      <c r="AJ12" s="14">
        <f t="shared" si="23"/>
        <v>37410</v>
      </c>
      <c r="AK12" s="3">
        <f t="shared" si="24"/>
        <v>0.6458333333333334</v>
      </c>
      <c r="AL12" s="1" t="str">
        <f t="shared" si="25"/>
        <v>Mexico</v>
      </c>
      <c r="AM12" s="2">
        <f t="shared" si="26"/>
        <v>1</v>
      </c>
      <c r="AN12" s="1" t="str">
        <f t="shared" si="27"/>
        <v>Croatia</v>
      </c>
      <c r="AO12" s="2">
        <f t="shared" si="28"/>
        <v>0</v>
      </c>
      <c r="AP12" s="1" t="str">
        <f t="shared" si="29"/>
        <v>G</v>
      </c>
    </row>
    <row r="13" spans="1:42" ht="11.25" thickBot="1">
      <c r="A13" s="37">
        <v>37410</v>
      </c>
      <c r="B13" s="8">
        <v>0.75</v>
      </c>
      <c r="C13" s="9" t="s">
        <v>31</v>
      </c>
      <c r="D13" s="9"/>
      <c r="E13" s="10">
        <v>2</v>
      </c>
      <c r="F13" s="11">
        <v>1</v>
      </c>
      <c r="G13" s="12"/>
      <c r="H13" s="13" t="s">
        <v>32</v>
      </c>
      <c r="I13" s="40" t="s">
        <v>109</v>
      </c>
      <c r="J13" s="12" t="s">
        <v>33</v>
      </c>
      <c r="L13" s="1" t="str">
        <f t="shared" si="0"/>
        <v>Brazil</v>
      </c>
      <c r="M13" s="2">
        <f t="shared" si="1"/>
        <v>1</v>
      </c>
      <c r="N13" s="2">
        <f t="shared" si="2"/>
        <v>1</v>
      </c>
      <c r="O13" s="2">
        <f t="shared" si="3"/>
        <v>0</v>
      </c>
      <c r="P13" s="2">
        <f t="shared" si="4"/>
        <v>0</v>
      </c>
      <c r="Q13" s="2">
        <f t="shared" si="5"/>
        <v>2</v>
      </c>
      <c r="R13" s="2">
        <f t="shared" si="6"/>
        <v>1</v>
      </c>
      <c r="S13" s="1" t="str">
        <f t="shared" si="7"/>
        <v>Turkey</v>
      </c>
      <c r="T13" s="2">
        <f t="shared" si="8"/>
        <v>1</v>
      </c>
      <c r="U13" s="2">
        <f t="shared" si="9"/>
        <v>0</v>
      </c>
      <c r="V13" s="2">
        <f t="shared" si="10"/>
        <v>0</v>
      </c>
      <c r="W13" s="2">
        <f t="shared" si="11"/>
        <v>1</v>
      </c>
      <c r="X13" s="2">
        <f t="shared" si="12"/>
        <v>1</v>
      </c>
      <c r="Y13" s="2">
        <f t="shared" si="13"/>
        <v>2</v>
      </c>
      <c r="AA13" s="1">
        <f t="shared" si="14"/>
        <v>103</v>
      </c>
      <c r="AB13" s="14">
        <f t="shared" si="15"/>
        <v>37410</v>
      </c>
      <c r="AC13" s="3">
        <f t="shared" si="16"/>
        <v>0.75</v>
      </c>
      <c r="AD13" s="1" t="str">
        <f t="shared" si="17"/>
        <v>Brazil</v>
      </c>
      <c r="AE13" s="2">
        <f t="shared" si="18"/>
        <v>2</v>
      </c>
      <c r="AF13" s="1" t="str">
        <f t="shared" si="19"/>
        <v>Turkey</v>
      </c>
      <c r="AG13" s="2">
        <f t="shared" si="20"/>
        <v>1</v>
      </c>
      <c r="AH13" s="1" t="str">
        <f t="shared" si="21"/>
        <v>C</v>
      </c>
      <c r="AI13" s="1">
        <f t="shared" si="22"/>
        <v>130</v>
      </c>
      <c r="AJ13" s="14">
        <f t="shared" si="23"/>
        <v>37410</v>
      </c>
      <c r="AK13" s="3">
        <f t="shared" si="24"/>
        <v>0.75</v>
      </c>
      <c r="AL13" s="1" t="str">
        <f t="shared" si="25"/>
        <v>Turkey</v>
      </c>
      <c r="AM13" s="2">
        <f t="shared" si="26"/>
        <v>1</v>
      </c>
      <c r="AN13" s="1" t="str">
        <f t="shared" si="27"/>
        <v>Brazil</v>
      </c>
      <c r="AO13" s="2">
        <f t="shared" si="28"/>
        <v>2</v>
      </c>
      <c r="AP13" s="1" t="str">
        <f t="shared" si="29"/>
        <v>C</v>
      </c>
    </row>
    <row r="14" spans="1:42" ht="11.25" thickBot="1">
      <c r="A14" s="37">
        <v>37410</v>
      </c>
      <c r="B14" s="8">
        <v>0.8541666666666666</v>
      </c>
      <c r="C14" s="9" t="s">
        <v>34</v>
      </c>
      <c r="D14" s="9"/>
      <c r="E14" s="10">
        <v>2</v>
      </c>
      <c r="F14" s="11">
        <v>0</v>
      </c>
      <c r="G14" s="12"/>
      <c r="H14" s="13" t="s">
        <v>35</v>
      </c>
      <c r="I14" s="40" t="s">
        <v>85</v>
      </c>
      <c r="J14" s="12" t="s">
        <v>30</v>
      </c>
      <c r="L14" s="1" t="str">
        <f t="shared" si="0"/>
        <v>Italy</v>
      </c>
      <c r="M14" s="2">
        <f t="shared" si="1"/>
        <v>1</v>
      </c>
      <c r="N14" s="2">
        <f t="shared" si="2"/>
        <v>1</v>
      </c>
      <c r="O14" s="2">
        <f t="shared" si="3"/>
        <v>0</v>
      </c>
      <c r="P14" s="2">
        <f t="shared" si="4"/>
        <v>0</v>
      </c>
      <c r="Q14" s="2">
        <f t="shared" si="5"/>
        <v>2</v>
      </c>
      <c r="R14" s="2">
        <f t="shared" si="6"/>
        <v>0</v>
      </c>
      <c r="S14" s="1" t="str">
        <f t="shared" si="7"/>
        <v>Ecuador</v>
      </c>
      <c r="T14" s="2">
        <f t="shared" si="8"/>
        <v>1</v>
      </c>
      <c r="U14" s="2">
        <f t="shared" si="9"/>
        <v>0</v>
      </c>
      <c r="V14" s="2">
        <f t="shared" si="10"/>
        <v>0</v>
      </c>
      <c r="W14" s="2">
        <f t="shared" si="11"/>
        <v>1</v>
      </c>
      <c r="X14" s="2">
        <f t="shared" si="12"/>
        <v>0</v>
      </c>
      <c r="Y14" s="2">
        <f t="shared" si="13"/>
        <v>2</v>
      </c>
      <c r="AA14" s="1">
        <f t="shared" si="14"/>
        <v>114</v>
      </c>
      <c r="AB14" s="14">
        <f t="shared" si="15"/>
        <v>37410</v>
      </c>
      <c r="AC14" s="3">
        <f t="shared" si="16"/>
        <v>0.8541666666666666</v>
      </c>
      <c r="AD14" s="1" t="str">
        <f t="shared" si="17"/>
        <v>Italy</v>
      </c>
      <c r="AE14" s="2">
        <f t="shared" si="18"/>
        <v>2</v>
      </c>
      <c r="AF14" s="1" t="str">
        <f t="shared" si="19"/>
        <v>Ecuador</v>
      </c>
      <c r="AG14" s="2">
        <f t="shared" si="20"/>
        <v>0</v>
      </c>
      <c r="AH14" s="1" t="str">
        <f t="shared" si="21"/>
        <v>G</v>
      </c>
      <c r="AI14" s="1">
        <f t="shared" si="22"/>
        <v>109</v>
      </c>
      <c r="AJ14" s="14">
        <f t="shared" si="23"/>
        <v>37410</v>
      </c>
      <c r="AK14" s="3">
        <f t="shared" si="24"/>
        <v>0.8541666666666666</v>
      </c>
      <c r="AL14" s="1" t="str">
        <f t="shared" si="25"/>
        <v>Ecuador</v>
      </c>
      <c r="AM14" s="2">
        <f t="shared" si="26"/>
        <v>0</v>
      </c>
      <c r="AN14" s="1" t="str">
        <f t="shared" si="27"/>
        <v>Italy</v>
      </c>
      <c r="AO14" s="2">
        <f t="shared" si="28"/>
        <v>2</v>
      </c>
      <c r="AP14" s="1" t="str">
        <f t="shared" si="29"/>
        <v>G</v>
      </c>
    </row>
    <row r="15" spans="1:42" ht="11.25" thickBot="1">
      <c r="A15" s="37">
        <v>37411</v>
      </c>
      <c r="B15" s="8">
        <v>0.6458333333333334</v>
      </c>
      <c r="C15" s="9" t="s">
        <v>36</v>
      </c>
      <c r="D15" s="9"/>
      <c r="E15" s="10">
        <v>0</v>
      </c>
      <c r="F15" s="11">
        <v>2</v>
      </c>
      <c r="G15" s="12"/>
      <c r="H15" s="13" t="s">
        <v>37</v>
      </c>
      <c r="I15" s="40" t="s">
        <v>98</v>
      </c>
      <c r="J15" s="12" t="s">
        <v>33</v>
      </c>
      <c r="L15" s="1" t="str">
        <f t="shared" si="0"/>
        <v>China</v>
      </c>
      <c r="M15" s="2">
        <f t="shared" si="1"/>
        <v>1</v>
      </c>
      <c r="N15" s="2">
        <f t="shared" si="2"/>
        <v>0</v>
      </c>
      <c r="O15" s="2">
        <f t="shared" si="3"/>
        <v>0</v>
      </c>
      <c r="P15" s="2">
        <f t="shared" si="4"/>
        <v>1</v>
      </c>
      <c r="Q15" s="2">
        <f t="shared" si="5"/>
        <v>0</v>
      </c>
      <c r="R15" s="2">
        <f t="shared" si="6"/>
        <v>2</v>
      </c>
      <c r="S15" s="1" t="str">
        <f t="shared" si="7"/>
        <v>Costa Rica</v>
      </c>
      <c r="T15" s="2">
        <f t="shared" si="8"/>
        <v>1</v>
      </c>
      <c r="U15" s="2">
        <f t="shared" si="9"/>
        <v>1</v>
      </c>
      <c r="V15" s="2">
        <f t="shared" si="10"/>
        <v>0</v>
      </c>
      <c r="W15" s="2">
        <f t="shared" si="11"/>
        <v>0</v>
      </c>
      <c r="X15" s="2">
        <f t="shared" si="12"/>
        <v>2</v>
      </c>
      <c r="Y15" s="2">
        <f t="shared" si="13"/>
        <v>0</v>
      </c>
      <c r="AA15" s="1">
        <f t="shared" si="14"/>
        <v>105</v>
      </c>
      <c r="AB15" s="14">
        <f t="shared" si="15"/>
        <v>37411</v>
      </c>
      <c r="AC15" s="3">
        <f t="shared" si="16"/>
        <v>0.6458333333333334</v>
      </c>
      <c r="AD15" s="1" t="str">
        <f t="shared" si="17"/>
        <v>China</v>
      </c>
      <c r="AE15" s="2">
        <f t="shared" si="18"/>
        <v>0</v>
      </c>
      <c r="AF15" s="1" t="str">
        <f t="shared" si="19"/>
        <v>Costa Rica</v>
      </c>
      <c r="AG15" s="2">
        <f t="shared" si="20"/>
        <v>2</v>
      </c>
      <c r="AH15" s="1" t="str">
        <f t="shared" si="21"/>
        <v>C</v>
      </c>
      <c r="AI15" s="1">
        <f t="shared" si="22"/>
        <v>106</v>
      </c>
      <c r="AJ15" s="14">
        <f t="shared" si="23"/>
        <v>37411</v>
      </c>
      <c r="AK15" s="3">
        <f t="shared" si="24"/>
        <v>0.6458333333333334</v>
      </c>
      <c r="AL15" s="1" t="str">
        <f t="shared" si="25"/>
        <v>Costa Rica</v>
      </c>
      <c r="AM15" s="2">
        <f t="shared" si="26"/>
        <v>2</v>
      </c>
      <c r="AN15" s="1" t="str">
        <f t="shared" si="27"/>
        <v>China</v>
      </c>
      <c r="AO15" s="2">
        <f t="shared" si="28"/>
        <v>0</v>
      </c>
      <c r="AP15" s="1" t="str">
        <f t="shared" si="29"/>
        <v>C</v>
      </c>
    </row>
    <row r="16" spans="1:42" ht="11.25" thickBot="1">
      <c r="A16" s="37">
        <v>37411</v>
      </c>
      <c r="B16" s="8">
        <v>0.75</v>
      </c>
      <c r="C16" s="9" t="s">
        <v>38</v>
      </c>
      <c r="D16" s="9"/>
      <c r="E16" s="10">
        <v>2</v>
      </c>
      <c r="F16" s="11">
        <v>2</v>
      </c>
      <c r="G16" s="12"/>
      <c r="H16" s="13" t="s">
        <v>39</v>
      </c>
      <c r="I16" s="40" t="s">
        <v>110</v>
      </c>
      <c r="J16" s="12" t="s">
        <v>40</v>
      </c>
      <c r="L16" s="1" t="str">
        <f t="shared" si="0"/>
        <v>Japan</v>
      </c>
      <c r="M16" s="2">
        <f t="shared" si="1"/>
        <v>1</v>
      </c>
      <c r="N16" s="2">
        <f t="shared" si="2"/>
        <v>0</v>
      </c>
      <c r="O16" s="2">
        <f t="shared" si="3"/>
        <v>1</v>
      </c>
      <c r="P16" s="2">
        <f t="shared" si="4"/>
        <v>0</v>
      </c>
      <c r="Q16" s="2">
        <f t="shared" si="5"/>
        <v>2</v>
      </c>
      <c r="R16" s="2">
        <f t="shared" si="6"/>
        <v>2</v>
      </c>
      <c r="S16" s="1" t="str">
        <f t="shared" si="7"/>
        <v>Belgium</v>
      </c>
      <c r="T16" s="2">
        <f t="shared" si="8"/>
        <v>1</v>
      </c>
      <c r="U16" s="2">
        <f t="shared" si="9"/>
        <v>0</v>
      </c>
      <c r="V16" s="2">
        <f t="shared" si="10"/>
        <v>1</v>
      </c>
      <c r="W16" s="2">
        <f t="shared" si="11"/>
        <v>0</v>
      </c>
      <c r="X16" s="2">
        <f t="shared" si="12"/>
        <v>2</v>
      </c>
      <c r="Y16" s="2">
        <f t="shared" si="13"/>
        <v>2</v>
      </c>
      <c r="AA16" s="1">
        <f t="shared" si="14"/>
        <v>115</v>
      </c>
      <c r="AB16" s="14">
        <f t="shared" si="15"/>
        <v>37411</v>
      </c>
      <c r="AC16" s="3">
        <f t="shared" si="16"/>
        <v>0.75</v>
      </c>
      <c r="AD16" s="1" t="str">
        <f t="shared" si="17"/>
        <v>Japan</v>
      </c>
      <c r="AE16" s="2">
        <f t="shared" si="18"/>
        <v>2</v>
      </c>
      <c r="AF16" s="1" t="str">
        <f t="shared" si="19"/>
        <v>Belgium</v>
      </c>
      <c r="AG16" s="2">
        <f t="shared" si="20"/>
        <v>2</v>
      </c>
      <c r="AH16" s="1" t="str">
        <f t="shared" si="21"/>
        <v>H</v>
      </c>
      <c r="AI16" s="1">
        <f t="shared" si="22"/>
        <v>102</v>
      </c>
      <c r="AJ16" s="14">
        <f t="shared" si="23"/>
        <v>37411</v>
      </c>
      <c r="AK16" s="3">
        <f t="shared" si="24"/>
        <v>0.75</v>
      </c>
      <c r="AL16" s="1" t="str">
        <f t="shared" si="25"/>
        <v>Belgium</v>
      </c>
      <c r="AM16" s="2">
        <f t="shared" si="26"/>
        <v>2</v>
      </c>
      <c r="AN16" s="1" t="str">
        <f t="shared" si="27"/>
        <v>Japan</v>
      </c>
      <c r="AO16" s="2">
        <f t="shared" si="28"/>
        <v>2</v>
      </c>
      <c r="AP16" s="1" t="str">
        <f t="shared" si="29"/>
        <v>H</v>
      </c>
    </row>
    <row r="17" spans="1:42" ht="11.25" thickBot="1">
      <c r="A17" s="37">
        <v>37411</v>
      </c>
      <c r="B17" s="8">
        <v>0.8541666666666666</v>
      </c>
      <c r="C17" s="9" t="s">
        <v>41</v>
      </c>
      <c r="D17" s="9"/>
      <c r="E17" s="10">
        <v>2</v>
      </c>
      <c r="F17" s="11">
        <v>0</v>
      </c>
      <c r="G17" s="12"/>
      <c r="H17" s="13" t="s">
        <v>42</v>
      </c>
      <c r="I17" s="40" t="s">
        <v>87</v>
      </c>
      <c r="J17" s="12" t="s">
        <v>6</v>
      </c>
      <c r="L17" s="1" t="str">
        <f t="shared" si="0"/>
        <v>South Korea</v>
      </c>
      <c r="M17" s="2">
        <f t="shared" si="1"/>
        <v>1</v>
      </c>
      <c r="N17" s="2">
        <f t="shared" si="2"/>
        <v>1</v>
      </c>
      <c r="O17" s="2">
        <f t="shared" si="3"/>
        <v>0</v>
      </c>
      <c r="P17" s="2">
        <f t="shared" si="4"/>
        <v>0</v>
      </c>
      <c r="Q17" s="2">
        <f t="shared" si="5"/>
        <v>2</v>
      </c>
      <c r="R17" s="2">
        <f t="shared" si="6"/>
        <v>0</v>
      </c>
      <c r="S17" s="1" t="str">
        <f t="shared" si="7"/>
        <v>Poland</v>
      </c>
      <c r="T17" s="2">
        <f t="shared" si="8"/>
        <v>1</v>
      </c>
      <c r="U17" s="2">
        <f t="shared" si="9"/>
        <v>0</v>
      </c>
      <c r="V17" s="2">
        <f t="shared" si="10"/>
        <v>0</v>
      </c>
      <c r="W17" s="2">
        <f t="shared" si="11"/>
        <v>1</v>
      </c>
      <c r="X17" s="2">
        <f t="shared" si="12"/>
        <v>0</v>
      </c>
      <c r="Y17" s="2">
        <f t="shared" si="13"/>
        <v>2</v>
      </c>
      <c r="AA17" s="1">
        <f t="shared" si="14"/>
        <v>126</v>
      </c>
      <c r="AB17" s="14">
        <f t="shared" si="15"/>
        <v>37411</v>
      </c>
      <c r="AC17" s="3">
        <f t="shared" si="16"/>
        <v>0.8541666666666666</v>
      </c>
      <c r="AD17" s="1" t="str">
        <f t="shared" si="17"/>
        <v>South Korea</v>
      </c>
      <c r="AE17" s="2">
        <f t="shared" si="18"/>
        <v>2</v>
      </c>
      <c r="AF17" s="1" t="str">
        <f t="shared" si="19"/>
        <v>Poland</v>
      </c>
      <c r="AG17" s="2">
        <f t="shared" si="20"/>
        <v>0</v>
      </c>
      <c r="AH17" s="1" t="str">
        <f t="shared" si="21"/>
        <v>D</v>
      </c>
      <c r="AI17" s="1">
        <f t="shared" si="22"/>
        <v>119</v>
      </c>
      <c r="AJ17" s="14">
        <f t="shared" si="23"/>
        <v>37411</v>
      </c>
      <c r="AK17" s="3">
        <f t="shared" si="24"/>
        <v>0.8541666666666666</v>
      </c>
      <c r="AL17" s="1" t="str">
        <f t="shared" si="25"/>
        <v>Poland</v>
      </c>
      <c r="AM17" s="2">
        <f t="shared" si="26"/>
        <v>0</v>
      </c>
      <c r="AN17" s="1" t="str">
        <f t="shared" si="27"/>
        <v>South Korea</v>
      </c>
      <c r="AO17" s="2">
        <f t="shared" si="28"/>
        <v>2</v>
      </c>
      <c r="AP17" s="1" t="str">
        <f t="shared" si="29"/>
        <v>D</v>
      </c>
    </row>
    <row r="18" spans="1:42" ht="11.25" thickBot="1">
      <c r="A18" s="37">
        <v>37412</v>
      </c>
      <c r="B18" s="8">
        <v>0.6458333333333334</v>
      </c>
      <c r="C18" s="9" t="s">
        <v>43</v>
      </c>
      <c r="D18" s="9"/>
      <c r="E18" s="10">
        <v>2</v>
      </c>
      <c r="F18" s="11">
        <v>0</v>
      </c>
      <c r="G18" s="12"/>
      <c r="H18" s="13" t="s">
        <v>44</v>
      </c>
      <c r="I18" s="40" t="s">
        <v>99</v>
      </c>
      <c r="J18" s="12" t="s">
        <v>40</v>
      </c>
      <c r="L18" s="1" t="str">
        <f t="shared" si="0"/>
        <v>Russia</v>
      </c>
      <c r="M18" s="2">
        <f t="shared" si="1"/>
        <v>1</v>
      </c>
      <c r="N18" s="2">
        <f t="shared" si="2"/>
        <v>1</v>
      </c>
      <c r="O18" s="2">
        <f t="shared" si="3"/>
        <v>0</v>
      </c>
      <c r="P18" s="2">
        <f t="shared" si="4"/>
        <v>0</v>
      </c>
      <c r="Q18" s="2">
        <f t="shared" si="5"/>
        <v>2</v>
      </c>
      <c r="R18" s="2">
        <f t="shared" si="6"/>
        <v>0</v>
      </c>
      <c r="S18" s="1" t="str">
        <f t="shared" si="7"/>
        <v>Tunisia</v>
      </c>
      <c r="T18" s="2">
        <f t="shared" si="8"/>
        <v>1</v>
      </c>
      <c r="U18" s="2">
        <f t="shared" si="9"/>
        <v>0</v>
      </c>
      <c r="V18" s="2">
        <f t="shared" si="10"/>
        <v>0</v>
      </c>
      <c r="W18" s="2">
        <f t="shared" si="11"/>
        <v>1</v>
      </c>
      <c r="X18" s="2">
        <f t="shared" si="12"/>
        <v>0</v>
      </c>
      <c r="Y18" s="2">
        <f t="shared" si="13"/>
        <v>2</v>
      </c>
      <c r="AA18" s="1">
        <f t="shared" si="14"/>
        <v>121</v>
      </c>
      <c r="AB18" s="14">
        <f t="shared" si="15"/>
        <v>37412</v>
      </c>
      <c r="AC18" s="3">
        <f t="shared" si="16"/>
        <v>0.6458333333333334</v>
      </c>
      <c r="AD18" s="1" t="str">
        <f t="shared" si="17"/>
        <v>Russia</v>
      </c>
      <c r="AE18" s="2">
        <f t="shared" si="18"/>
        <v>2</v>
      </c>
      <c r="AF18" s="1" t="str">
        <f t="shared" si="19"/>
        <v>Tunisia</v>
      </c>
      <c r="AG18" s="2">
        <f t="shared" si="20"/>
        <v>0</v>
      </c>
      <c r="AH18" s="1" t="str">
        <f t="shared" si="21"/>
        <v>H</v>
      </c>
      <c r="AI18" s="1">
        <f t="shared" si="22"/>
        <v>129</v>
      </c>
      <c r="AJ18" s="14">
        <f t="shared" si="23"/>
        <v>37412</v>
      </c>
      <c r="AK18" s="3">
        <f t="shared" si="24"/>
        <v>0.6458333333333334</v>
      </c>
      <c r="AL18" s="1" t="str">
        <f t="shared" si="25"/>
        <v>Tunisia</v>
      </c>
      <c r="AM18" s="2">
        <f t="shared" si="26"/>
        <v>0</v>
      </c>
      <c r="AN18" s="1" t="str">
        <f t="shared" si="27"/>
        <v>Russia</v>
      </c>
      <c r="AO18" s="2">
        <f t="shared" si="28"/>
        <v>2</v>
      </c>
      <c r="AP18" s="1" t="str">
        <f t="shared" si="29"/>
        <v>H</v>
      </c>
    </row>
    <row r="19" spans="1:42" ht="11.25" thickBot="1">
      <c r="A19" s="37">
        <v>37412</v>
      </c>
      <c r="B19" s="8">
        <v>0.75</v>
      </c>
      <c r="C19" s="9" t="s">
        <v>45</v>
      </c>
      <c r="D19" s="9"/>
      <c r="E19" s="10">
        <v>3</v>
      </c>
      <c r="F19" s="11">
        <v>2</v>
      </c>
      <c r="G19" s="12"/>
      <c r="H19" s="13" t="s">
        <v>46</v>
      </c>
      <c r="I19" s="40" t="s">
        <v>111</v>
      </c>
      <c r="J19" s="12" t="s">
        <v>6</v>
      </c>
      <c r="L19" s="1" t="str">
        <f t="shared" si="0"/>
        <v>USA</v>
      </c>
      <c r="M19" s="2">
        <f t="shared" si="1"/>
        <v>1</v>
      </c>
      <c r="N19" s="2">
        <f t="shared" si="2"/>
        <v>1</v>
      </c>
      <c r="O19" s="2">
        <f t="shared" si="3"/>
        <v>0</v>
      </c>
      <c r="P19" s="2">
        <f t="shared" si="4"/>
        <v>0</v>
      </c>
      <c r="Q19" s="2">
        <f t="shared" si="5"/>
        <v>3</v>
      </c>
      <c r="R19" s="2">
        <f t="shared" si="6"/>
        <v>2</v>
      </c>
      <c r="S19" s="1" t="str">
        <f t="shared" si="7"/>
        <v>Portugal</v>
      </c>
      <c r="T19" s="2">
        <f t="shared" si="8"/>
        <v>1</v>
      </c>
      <c r="U19" s="2">
        <f t="shared" si="9"/>
        <v>0</v>
      </c>
      <c r="V19" s="2">
        <f t="shared" si="10"/>
        <v>0</v>
      </c>
      <c r="W19" s="2">
        <f t="shared" si="11"/>
        <v>1</v>
      </c>
      <c r="X19" s="2">
        <f t="shared" si="12"/>
        <v>2</v>
      </c>
      <c r="Y19" s="2">
        <f t="shared" si="13"/>
        <v>3</v>
      </c>
      <c r="AA19" s="1">
        <f t="shared" si="14"/>
        <v>132</v>
      </c>
      <c r="AB19" s="14">
        <f t="shared" si="15"/>
        <v>37412</v>
      </c>
      <c r="AC19" s="3">
        <f t="shared" si="16"/>
        <v>0.75</v>
      </c>
      <c r="AD19" s="1" t="str">
        <f t="shared" si="17"/>
        <v>USA</v>
      </c>
      <c r="AE19" s="2">
        <f t="shared" si="18"/>
        <v>3</v>
      </c>
      <c r="AF19" s="1" t="str">
        <f t="shared" si="19"/>
        <v>Portugal</v>
      </c>
      <c r="AG19" s="2">
        <f t="shared" si="20"/>
        <v>2</v>
      </c>
      <c r="AH19" s="1" t="str">
        <f t="shared" si="21"/>
        <v>D</v>
      </c>
      <c r="AI19" s="1">
        <f t="shared" si="22"/>
        <v>120</v>
      </c>
      <c r="AJ19" s="14">
        <f t="shared" si="23"/>
        <v>37412</v>
      </c>
      <c r="AK19" s="3">
        <f t="shared" si="24"/>
        <v>0.75</v>
      </c>
      <c r="AL19" s="1" t="str">
        <f t="shared" si="25"/>
        <v>Portugal</v>
      </c>
      <c r="AM19" s="2">
        <f t="shared" si="26"/>
        <v>2</v>
      </c>
      <c r="AN19" s="1" t="str">
        <f t="shared" si="27"/>
        <v>USA</v>
      </c>
      <c r="AO19" s="2">
        <f t="shared" si="28"/>
        <v>3</v>
      </c>
      <c r="AP19" s="1" t="str">
        <f t="shared" si="29"/>
        <v>D</v>
      </c>
    </row>
    <row r="20" spans="1:42" ht="11.25" thickBot="1">
      <c r="A20" s="37">
        <v>37412</v>
      </c>
      <c r="B20" s="8">
        <v>0.8541666666666666</v>
      </c>
      <c r="C20" s="9" t="s">
        <v>17</v>
      </c>
      <c r="D20" s="9"/>
      <c r="E20" s="10">
        <v>1</v>
      </c>
      <c r="F20" s="11">
        <v>1</v>
      </c>
      <c r="G20" s="12"/>
      <c r="H20" s="13" t="s">
        <v>12</v>
      </c>
      <c r="I20" s="40" t="s">
        <v>88</v>
      </c>
      <c r="J20" s="12" t="s">
        <v>14</v>
      </c>
      <c r="L20" s="1" t="str">
        <f t="shared" si="0"/>
        <v>Germany</v>
      </c>
      <c r="M20" s="2">
        <f t="shared" si="1"/>
        <v>1</v>
      </c>
      <c r="N20" s="2">
        <f t="shared" si="2"/>
        <v>0</v>
      </c>
      <c r="O20" s="2">
        <f t="shared" si="3"/>
        <v>1</v>
      </c>
      <c r="P20" s="2">
        <f t="shared" si="4"/>
        <v>0</v>
      </c>
      <c r="Q20" s="2">
        <f t="shared" si="5"/>
        <v>1</v>
      </c>
      <c r="R20" s="2">
        <f t="shared" si="6"/>
        <v>1</v>
      </c>
      <c r="S20" s="1" t="str">
        <f t="shared" si="7"/>
        <v>Ireland</v>
      </c>
      <c r="T20" s="2">
        <f t="shared" si="8"/>
        <v>1</v>
      </c>
      <c r="U20" s="2">
        <f t="shared" si="9"/>
        <v>0</v>
      </c>
      <c r="V20" s="2">
        <f t="shared" si="10"/>
        <v>1</v>
      </c>
      <c r="W20" s="2">
        <f t="shared" si="11"/>
        <v>0</v>
      </c>
      <c r="X20" s="2">
        <f t="shared" si="12"/>
        <v>1</v>
      </c>
      <c r="Y20" s="2">
        <f t="shared" si="13"/>
        <v>1</v>
      </c>
      <c r="AA20" s="1">
        <f aca="true" t="shared" si="30" ref="AA20:AA35">200+VLOOKUP(AD20,TeamToNum,2,FALSE)</f>
        <v>212</v>
      </c>
      <c r="AB20" s="14">
        <f t="shared" si="15"/>
        <v>37412</v>
      </c>
      <c r="AC20" s="3">
        <f t="shared" si="16"/>
        <v>0.8541666666666666</v>
      </c>
      <c r="AD20" s="1" t="str">
        <f t="shared" si="17"/>
        <v>Germany</v>
      </c>
      <c r="AE20" s="2">
        <f t="shared" si="18"/>
        <v>1</v>
      </c>
      <c r="AF20" s="1" t="str">
        <f t="shared" si="19"/>
        <v>Ireland</v>
      </c>
      <c r="AG20" s="2">
        <f t="shared" si="20"/>
        <v>1</v>
      </c>
      <c r="AH20" s="1" t="str">
        <f t="shared" si="21"/>
        <v>E</v>
      </c>
      <c r="AI20" s="1">
        <f aca="true" t="shared" si="31" ref="AI20:AI35">200+VLOOKUP(AL20,TeamToNum,2,FALSE)</f>
        <v>213</v>
      </c>
      <c r="AJ20" s="14">
        <f t="shared" si="23"/>
        <v>37412</v>
      </c>
      <c r="AK20" s="3">
        <f t="shared" si="24"/>
        <v>0.8541666666666666</v>
      </c>
      <c r="AL20" s="1" t="str">
        <f t="shared" si="25"/>
        <v>Ireland</v>
      </c>
      <c r="AM20" s="2">
        <f t="shared" si="26"/>
        <v>1</v>
      </c>
      <c r="AN20" s="1" t="str">
        <f t="shared" si="27"/>
        <v>Germany</v>
      </c>
      <c r="AO20" s="2">
        <f t="shared" si="28"/>
        <v>1</v>
      </c>
      <c r="AP20" s="1" t="str">
        <f t="shared" si="29"/>
        <v>E</v>
      </c>
    </row>
    <row r="21" spans="1:42" ht="11.25" thickBot="1">
      <c r="A21" s="37">
        <v>37413</v>
      </c>
      <c r="B21" s="8">
        <v>0.8541666666666666</v>
      </c>
      <c r="C21" s="9" t="s">
        <v>10</v>
      </c>
      <c r="D21" s="9"/>
      <c r="E21" s="10">
        <v>0</v>
      </c>
      <c r="F21" s="11">
        <v>0</v>
      </c>
      <c r="G21" s="12"/>
      <c r="H21" s="13" t="s">
        <v>15</v>
      </c>
      <c r="I21" s="40" t="s">
        <v>87</v>
      </c>
      <c r="J21" s="12" t="s">
        <v>9</v>
      </c>
      <c r="L21" s="1" t="str">
        <f t="shared" si="0"/>
        <v>France</v>
      </c>
      <c r="M21" s="2">
        <f t="shared" si="1"/>
        <v>1</v>
      </c>
      <c r="N21" s="2">
        <f t="shared" si="2"/>
        <v>0</v>
      </c>
      <c r="O21" s="2">
        <f t="shared" si="3"/>
        <v>1</v>
      </c>
      <c r="P21" s="2">
        <f t="shared" si="4"/>
        <v>0</v>
      </c>
      <c r="Q21" s="2">
        <f t="shared" si="5"/>
        <v>0</v>
      </c>
      <c r="R21" s="2">
        <f t="shared" si="6"/>
        <v>0</v>
      </c>
      <c r="S21" s="1" t="str">
        <f t="shared" si="7"/>
        <v>Uruguay</v>
      </c>
      <c r="T21" s="2">
        <f t="shared" si="8"/>
        <v>1</v>
      </c>
      <c r="U21" s="2">
        <f t="shared" si="9"/>
        <v>0</v>
      </c>
      <c r="V21" s="2">
        <f t="shared" si="10"/>
        <v>1</v>
      </c>
      <c r="W21" s="2">
        <f t="shared" si="11"/>
        <v>0</v>
      </c>
      <c r="X21" s="2">
        <f t="shared" si="12"/>
        <v>0</v>
      </c>
      <c r="Y21" s="2">
        <f t="shared" si="13"/>
        <v>0</v>
      </c>
      <c r="AA21" s="1">
        <f t="shared" si="30"/>
        <v>211</v>
      </c>
      <c r="AB21" s="14">
        <f t="shared" si="15"/>
        <v>37413</v>
      </c>
      <c r="AC21" s="3">
        <f t="shared" si="16"/>
        <v>0.8541666666666666</v>
      </c>
      <c r="AD21" s="1" t="str">
        <f t="shared" si="17"/>
        <v>France</v>
      </c>
      <c r="AE21" s="2">
        <f t="shared" si="18"/>
        <v>0</v>
      </c>
      <c r="AF21" s="1" t="str">
        <f t="shared" si="19"/>
        <v>Uruguay</v>
      </c>
      <c r="AG21" s="2">
        <f t="shared" si="20"/>
        <v>0</v>
      </c>
      <c r="AH21" s="1" t="str">
        <f t="shared" si="21"/>
        <v>A</v>
      </c>
      <c r="AI21" s="1">
        <f t="shared" si="31"/>
        <v>231</v>
      </c>
      <c r="AJ21" s="14">
        <f t="shared" si="23"/>
        <v>37413</v>
      </c>
      <c r="AK21" s="3">
        <f t="shared" si="24"/>
        <v>0.8541666666666666</v>
      </c>
      <c r="AL21" s="1" t="str">
        <f t="shared" si="25"/>
        <v>Uruguay</v>
      </c>
      <c r="AM21" s="2">
        <f t="shared" si="26"/>
        <v>0</v>
      </c>
      <c r="AN21" s="1" t="str">
        <f t="shared" si="27"/>
        <v>France</v>
      </c>
      <c r="AO21" s="2">
        <f t="shared" si="28"/>
        <v>0</v>
      </c>
      <c r="AP21" s="1" t="str">
        <f t="shared" si="29"/>
        <v>A</v>
      </c>
    </row>
    <row r="22" spans="1:42" ht="11.25" thickBot="1">
      <c r="A22" s="37">
        <v>37413</v>
      </c>
      <c r="B22" s="8">
        <v>0.75</v>
      </c>
      <c r="C22" s="9" t="s">
        <v>13</v>
      </c>
      <c r="D22" s="9"/>
      <c r="E22" s="10">
        <v>2</v>
      </c>
      <c r="F22" s="11">
        <v>1</v>
      </c>
      <c r="G22" s="12"/>
      <c r="H22" s="13" t="s">
        <v>18</v>
      </c>
      <c r="I22" s="40" t="s">
        <v>110</v>
      </c>
      <c r="J22" s="12" t="s">
        <v>14</v>
      </c>
      <c r="L22" s="1" t="str">
        <f t="shared" si="0"/>
        <v>Cameroon</v>
      </c>
      <c r="M22" s="2">
        <f t="shared" si="1"/>
        <v>1</v>
      </c>
      <c r="N22" s="2">
        <f t="shared" si="2"/>
        <v>1</v>
      </c>
      <c r="O22" s="2">
        <f t="shared" si="3"/>
        <v>0</v>
      </c>
      <c r="P22" s="2">
        <f t="shared" si="4"/>
        <v>0</v>
      </c>
      <c r="Q22" s="2">
        <f t="shared" si="5"/>
        <v>2</v>
      </c>
      <c r="R22" s="2">
        <f t="shared" si="6"/>
        <v>1</v>
      </c>
      <c r="S22" s="1" t="str">
        <f t="shared" si="7"/>
        <v>Saudi Arabia</v>
      </c>
      <c r="T22" s="2">
        <f t="shared" si="8"/>
        <v>1</v>
      </c>
      <c r="U22" s="2">
        <f t="shared" si="9"/>
        <v>0</v>
      </c>
      <c r="V22" s="2">
        <f t="shared" si="10"/>
        <v>0</v>
      </c>
      <c r="W22" s="2">
        <f t="shared" si="11"/>
        <v>1</v>
      </c>
      <c r="X22" s="2">
        <f t="shared" si="12"/>
        <v>1</v>
      </c>
      <c r="Y22" s="2">
        <f t="shared" si="13"/>
        <v>2</v>
      </c>
      <c r="AA22" s="1">
        <f t="shared" si="30"/>
        <v>204</v>
      </c>
      <c r="AB22" s="14">
        <f t="shared" si="15"/>
        <v>37413</v>
      </c>
      <c r="AC22" s="3">
        <f t="shared" si="16"/>
        <v>0.75</v>
      </c>
      <c r="AD22" s="1" t="str">
        <f t="shared" si="17"/>
        <v>Cameroon</v>
      </c>
      <c r="AE22" s="2">
        <f t="shared" si="18"/>
        <v>2</v>
      </c>
      <c r="AF22" s="1" t="str">
        <f t="shared" si="19"/>
        <v>Saudi Arabia</v>
      </c>
      <c r="AG22" s="2">
        <f t="shared" si="20"/>
        <v>1</v>
      </c>
      <c r="AH22" s="1" t="str">
        <f t="shared" si="21"/>
        <v>E</v>
      </c>
      <c r="AI22" s="1">
        <f t="shared" si="31"/>
        <v>222</v>
      </c>
      <c r="AJ22" s="14">
        <f t="shared" si="23"/>
        <v>37413</v>
      </c>
      <c r="AK22" s="3">
        <f t="shared" si="24"/>
        <v>0.75</v>
      </c>
      <c r="AL22" s="1" t="str">
        <f t="shared" si="25"/>
        <v>Saudi Arabia</v>
      </c>
      <c r="AM22" s="2">
        <f t="shared" si="26"/>
        <v>1</v>
      </c>
      <c r="AN22" s="1" t="str">
        <f t="shared" si="27"/>
        <v>Cameroon</v>
      </c>
      <c r="AO22" s="2">
        <f t="shared" si="28"/>
        <v>2</v>
      </c>
      <c r="AP22" s="1" t="str">
        <f t="shared" si="29"/>
        <v>E</v>
      </c>
    </row>
    <row r="23" spans="1:42" ht="11.25" thickBot="1">
      <c r="A23" s="37">
        <v>37413</v>
      </c>
      <c r="B23" s="8">
        <v>0.6458333333333334</v>
      </c>
      <c r="C23" s="9" t="s">
        <v>16</v>
      </c>
      <c r="D23" s="9"/>
      <c r="E23" s="10">
        <v>1</v>
      </c>
      <c r="F23" s="11">
        <v>1</v>
      </c>
      <c r="G23" s="12"/>
      <c r="H23" s="13" t="s">
        <v>11</v>
      </c>
      <c r="I23" s="40" t="s">
        <v>117</v>
      </c>
      <c r="J23" s="12" t="s">
        <v>9</v>
      </c>
      <c r="L23" s="1" t="str">
        <f t="shared" si="0"/>
        <v>Denmark</v>
      </c>
      <c r="M23" s="2">
        <f t="shared" si="1"/>
        <v>1</v>
      </c>
      <c r="N23" s="2">
        <f t="shared" si="2"/>
        <v>0</v>
      </c>
      <c r="O23" s="2">
        <f t="shared" si="3"/>
        <v>1</v>
      </c>
      <c r="P23" s="2">
        <f t="shared" si="4"/>
        <v>0</v>
      </c>
      <c r="Q23" s="2">
        <f t="shared" si="5"/>
        <v>1</v>
      </c>
      <c r="R23" s="2">
        <f t="shared" si="6"/>
        <v>1</v>
      </c>
      <c r="S23" s="1" t="str">
        <f t="shared" si="7"/>
        <v>Senegal</v>
      </c>
      <c r="T23" s="2">
        <f t="shared" si="8"/>
        <v>1</v>
      </c>
      <c r="U23" s="2">
        <f t="shared" si="9"/>
        <v>0</v>
      </c>
      <c r="V23" s="2">
        <f t="shared" si="10"/>
        <v>1</v>
      </c>
      <c r="W23" s="2">
        <f t="shared" si="11"/>
        <v>0</v>
      </c>
      <c r="X23" s="2">
        <f t="shared" si="12"/>
        <v>1</v>
      </c>
      <c r="Y23" s="2">
        <f t="shared" si="13"/>
        <v>1</v>
      </c>
      <c r="AA23" s="1">
        <f t="shared" si="30"/>
        <v>208</v>
      </c>
      <c r="AB23" s="14">
        <f t="shared" si="15"/>
        <v>37413</v>
      </c>
      <c r="AC23" s="3">
        <f t="shared" si="16"/>
        <v>0.6458333333333334</v>
      </c>
      <c r="AD23" s="1" t="str">
        <f t="shared" si="17"/>
        <v>Denmark</v>
      </c>
      <c r="AE23" s="2">
        <f t="shared" si="18"/>
        <v>1</v>
      </c>
      <c r="AF23" s="1" t="str">
        <f t="shared" si="19"/>
        <v>Senegal</v>
      </c>
      <c r="AG23" s="2">
        <f t="shared" si="20"/>
        <v>1</v>
      </c>
      <c r="AH23" s="1" t="str">
        <f t="shared" si="21"/>
        <v>A</v>
      </c>
      <c r="AI23" s="1">
        <f t="shared" si="31"/>
        <v>223</v>
      </c>
      <c r="AJ23" s="14">
        <f t="shared" si="23"/>
        <v>37413</v>
      </c>
      <c r="AK23" s="3">
        <f t="shared" si="24"/>
        <v>0.6458333333333334</v>
      </c>
      <c r="AL23" s="1" t="str">
        <f t="shared" si="25"/>
        <v>Senegal</v>
      </c>
      <c r="AM23" s="2">
        <f t="shared" si="26"/>
        <v>1</v>
      </c>
      <c r="AN23" s="1" t="str">
        <f t="shared" si="27"/>
        <v>Denmark</v>
      </c>
      <c r="AO23" s="2">
        <f t="shared" si="28"/>
        <v>1</v>
      </c>
      <c r="AP23" s="1" t="str">
        <f t="shared" si="29"/>
        <v>A</v>
      </c>
    </row>
    <row r="24" spans="1:42" ht="11.25" thickBot="1">
      <c r="A24" s="37">
        <v>37414</v>
      </c>
      <c r="B24" s="8">
        <v>0.6458333333333334</v>
      </c>
      <c r="C24" s="9" t="s">
        <v>20</v>
      </c>
      <c r="D24" s="9"/>
      <c r="E24" s="10">
        <v>2</v>
      </c>
      <c r="F24" s="11">
        <v>1</v>
      </c>
      <c r="G24" s="12"/>
      <c r="H24" s="13" t="s">
        <v>25</v>
      </c>
      <c r="I24" s="40" t="s">
        <v>99</v>
      </c>
      <c r="J24" s="12" t="s">
        <v>8</v>
      </c>
      <c r="L24" s="1" t="str">
        <f t="shared" si="0"/>
        <v>Sweden</v>
      </c>
      <c r="M24" s="2">
        <f t="shared" si="1"/>
        <v>1</v>
      </c>
      <c r="N24" s="2">
        <f t="shared" si="2"/>
        <v>1</v>
      </c>
      <c r="O24" s="2">
        <f t="shared" si="3"/>
        <v>0</v>
      </c>
      <c r="P24" s="2">
        <f t="shared" si="4"/>
        <v>0</v>
      </c>
      <c r="Q24" s="2">
        <f t="shared" si="5"/>
        <v>2</v>
      </c>
      <c r="R24" s="2">
        <f t="shared" si="6"/>
        <v>1</v>
      </c>
      <c r="S24" s="1" t="str">
        <f t="shared" si="7"/>
        <v>Nigeria</v>
      </c>
      <c r="T24" s="2">
        <f t="shared" si="8"/>
        <v>1</v>
      </c>
      <c r="U24" s="2">
        <f t="shared" si="9"/>
        <v>0</v>
      </c>
      <c r="V24" s="2">
        <f t="shared" si="10"/>
        <v>0</v>
      </c>
      <c r="W24" s="2">
        <f t="shared" si="11"/>
        <v>1</v>
      </c>
      <c r="X24" s="2">
        <f t="shared" si="12"/>
        <v>1</v>
      </c>
      <c r="Y24" s="2">
        <f t="shared" si="13"/>
        <v>2</v>
      </c>
      <c r="AA24" s="1">
        <f t="shared" si="30"/>
        <v>228</v>
      </c>
      <c r="AB24" s="14">
        <f t="shared" si="15"/>
        <v>37414</v>
      </c>
      <c r="AC24" s="3">
        <f t="shared" si="16"/>
        <v>0.6458333333333334</v>
      </c>
      <c r="AD24" s="1" t="str">
        <f t="shared" si="17"/>
        <v>Sweden</v>
      </c>
      <c r="AE24" s="2">
        <f t="shared" si="18"/>
        <v>2</v>
      </c>
      <c r="AF24" s="1" t="str">
        <f t="shared" si="19"/>
        <v>Nigeria</v>
      </c>
      <c r="AG24" s="2">
        <f t="shared" si="20"/>
        <v>1</v>
      </c>
      <c r="AH24" s="1" t="str">
        <f t="shared" si="21"/>
        <v>F</v>
      </c>
      <c r="AI24" s="1">
        <f t="shared" si="31"/>
        <v>217</v>
      </c>
      <c r="AJ24" s="14">
        <f t="shared" si="23"/>
        <v>37414</v>
      </c>
      <c r="AK24" s="3">
        <f t="shared" si="24"/>
        <v>0.6458333333333334</v>
      </c>
      <c r="AL24" s="1" t="str">
        <f t="shared" si="25"/>
        <v>Nigeria</v>
      </c>
      <c r="AM24" s="2">
        <f t="shared" si="26"/>
        <v>1</v>
      </c>
      <c r="AN24" s="1" t="str">
        <f t="shared" si="27"/>
        <v>Sweden</v>
      </c>
      <c r="AO24" s="2">
        <f t="shared" si="28"/>
        <v>2</v>
      </c>
      <c r="AP24" s="1" t="str">
        <f t="shared" si="29"/>
        <v>F</v>
      </c>
    </row>
    <row r="25" spans="1:42" ht="11.25" thickBot="1">
      <c r="A25" s="37">
        <v>37414</v>
      </c>
      <c r="B25" s="8">
        <v>0.75</v>
      </c>
      <c r="C25" s="9" t="s">
        <v>26</v>
      </c>
      <c r="D25" s="9"/>
      <c r="E25" s="10">
        <v>3</v>
      </c>
      <c r="F25" s="11">
        <v>1</v>
      </c>
      <c r="G25" s="12"/>
      <c r="H25" s="13" t="s">
        <v>21</v>
      </c>
      <c r="I25" s="40" t="s">
        <v>112</v>
      </c>
      <c r="J25" s="12" t="s">
        <v>23</v>
      </c>
      <c r="L25" s="1" t="str">
        <f t="shared" si="0"/>
        <v>Spain</v>
      </c>
      <c r="M25" s="2">
        <f t="shared" si="1"/>
        <v>1</v>
      </c>
      <c r="N25" s="2">
        <f t="shared" si="2"/>
        <v>1</v>
      </c>
      <c r="O25" s="2">
        <f t="shared" si="3"/>
        <v>0</v>
      </c>
      <c r="P25" s="2">
        <f t="shared" si="4"/>
        <v>0</v>
      </c>
      <c r="Q25" s="2">
        <f t="shared" si="5"/>
        <v>3</v>
      </c>
      <c r="R25" s="2">
        <f t="shared" si="6"/>
        <v>1</v>
      </c>
      <c r="S25" s="1" t="str">
        <f t="shared" si="7"/>
        <v>Paraguay</v>
      </c>
      <c r="T25" s="2">
        <f t="shared" si="8"/>
        <v>1</v>
      </c>
      <c r="U25" s="2">
        <f t="shared" si="9"/>
        <v>0</v>
      </c>
      <c r="V25" s="2">
        <f t="shared" si="10"/>
        <v>0</v>
      </c>
      <c r="W25" s="2">
        <f t="shared" si="11"/>
        <v>1</v>
      </c>
      <c r="X25" s="2">
        <f t="shared" si="12"/>
        <v>1</v>
      </c>
      <c r="Y25" s="2">
        <f t="shared" si="13"/>
        <v>3</v>
      </c>
      <c r="AA25" s="1">
        <f t="shared" si="30"/>
        <v>227</v>
      </c>
      <c r="AB25" s="14">
        <f t="shared" si="15"/>
        <v>37414</v>
      </c>
      <c r="AC25" s="3">
        <f t="shared" si="16"/>
        <v>0.75</v>
      </c>
      <c r="AD25" s="1" t="str">
        <f t="shared" si="17"/>
        <v>Spain</v>
      </c>
      <c r="AE25" s="2">
        <f t="shared" si="18"/>
        <v>3</v>
      </c>
      <c r="AF25" s="1" t="str">
        <f t="shared" si="19"/>
        <v>Paraguay</v>
      </c>
      <c r="AG25" s="2">
        <f t="shared" si="20"/>
        <v>1</v>
      </c>
      <c r="AH25" s="1" t="str">
        <f t="shared" si="21"/>
        <v>B</v>
      </c>
      <c r="AI25" s="1">
        <f t="shared" si="31"/>
        <v>218</v>
      </c>
      <c r="AJ25" s="14">
        <f t="shared" si="23"/>
        <v>37414</v>
      </c>
      <c r="AK25" s="3">
        <f t="shared" si="24"/>
        <v>0.75</v>
      </c>
      <c r="AL25" s="1" t="str">
        <f t="shared" si="25"/>
        <v>Paraguay</v>
      </c>
      <c r="AM25" s="2">
        <f t="shared" si="26"/>
        <v>1</v>
      </c>
      <c r="AN25" s="1" t="str">
        <f t="shared" si="27"/>
        <v>Spain</v>
      </c>
      <c r="AO25" s="2">
        <f t="shared" si="28"/>
        <v>3</v>
      </c>
      <c r="AP25" s="1" t="str">
        <f t="shared" si="29"/>
        <v>B</v>
      </c>
    </row>
    <row r="26" spans="1:42" ht="11.25" thickBot="1">
      <c r="A26" s="37">
        <v>37414</v>
      </c>
      <c r="B26" s="8">
        <v>0.8541666666666666</v>
      </c>
      <c r="C26" s="9" t="s">
        <v>24</v>
      </c>
      <c r="D26" s="9"/>
      <c r="E26" s="10">
        <v>0</v>
      </c>
      <c r="F26" s="11">
        <v>1</v>
      </c>
      <c r="G26" s="12"/>
      <c r="H26" s="13" t="s">
        <v>19</v>
      </c>
      <c r="I26" s="40" t="s">
        <v>85</v>
      </c>
      <c r="J26" s="12" t="s">
        <v>8</v>
      </c>
      <c r="L26" s="1" t="str">
        <f t="shared" si="0"/>
        <v>Argentina</v>
      </c>
      <c r="M26" s="2">
        <f t="shared" si="1"/>
        <v>1</v>
      </c>
      <c r="N26" s="2">
        <f t="shared" si="2"/>
        <v>0</v>
      </c>
      <c r="O26" s="2">
        <f t="shared" si="3"/>
        <v>0</v>
      </c>
      <c r="P26" s="2">
        <f t="shared" si="4"/>
        <v>1</v>
      </c>
      <c r="Q26" s="2">
        <f t="shared" si="5"/>
        <v>0</v>
      </c>
      <c r="R26" s="2">
        <f t="shared" si="6"/>
        <v>1</v>
      </c>
      <c r="S26" s="1" t="str">
        <f t="shared" si="7"/>
        <v>England</v>
      </c>
      <c r="T26" s="2">
        <f t="shared" si="8"/>
        <v>1</v>
      </c>
      <c r="U26" s="2">
        <f t="shared" si="9"/>
        <v>1</v>
      </c>
      <c r="V26" s="2">
        <f t="shared" si="10"/>
        <v>0</v>
      </c>
      <c r="W26" s="2">
        <f t="shared" si="11"/>
        <v>0</v>
      </c>
      <c r="X26" s="2">
        <f t="shared" si="12"/>
        <v>1</v>
      </c>
      <c r="Y26" s="2">
        <f t="shared" si="13"/>
        <v>0</v>
      </c>
      <c r="AA26" s="1">
        <f t="shared" si="30"/>
        <v>201</v>
      </c>
      <c r="AB26" s="14">
        <f t="shared" si="15"/>
        <v>37414</v>
      </c>
      <c r="AC26" s="3">
        <f t="shared" si="16"/>
        <v>0.8541666666666666</v>
      </c>
      <c r="AD26" s="1" t="str">
        <f t="shared" si="17"/>
        <v>Argentina</v>
      </c>
      <c r="AE26" s="2">
        <f t="shared" si="18"/>
        <v>0</v>
      </c>
      <c r="AF26" s="1" t="str">
        <f t="shared" si="19"/>
        <v>England</v>
      </c>
      <c r="AG26" s="2">
        <f t="shared" si="20"/>
        <v>1</v>
      </c>
      <c r="AH26" s="1" t="str">
        <f t="shared" si="21"/>
        <v>F</v>
      </c>
      <c r="AI26" s="1">
        <f t="shared" si="31"/>
        <v>210</v>
      </c>
      <c r="AJ26" s="14">
        <f t="shared" si="23"/>
        <v>37414</v>
      </c>
      <c r="AK26" s="3">
        <f t="shared" si="24"/>
        <v>0.8541666666666666</v>
      </c>
      <c r="AL26" s="1" t="str">
        <f t="shared" si="25"/>
        <v>England</v>
      </c>
      <c r="AM26" s="2">
        <f t="shared" si="26"/>
        <v>1</v>
      </c>
      <c r="AN26" s="1" t="str">
        <f t="shared" si="27"/>
        <v>Argentina</v>
      </c>
      <c r="AO26" s="2">
        <f t="shared" si="28"/>
        <v>0</v>
      </c>
      <c r="AP26" s="1" t="str">
        <f t="shared" si="29"/>
        <v>F</v>
      </c>
    </row>
    <row r="27" spans="1:42" ht="11.25" thickBot="1">
      <c r="A27" s="37">
        <v>37415</v>
      </c>
      <c r="B27" s="8">
        <v>0.6458333333333334</v>
      </c>
      <c r="C27" s="9" t="s">
        <v>22</v>
      </c>
      <c r="D27" s="9"/>
      <c r="E27" s="10">
        <v>1</v>
      </c>
      <c r="F27" s="11">
        <v>0</v>
      </c>
      <c r="G27" s="12"/>
      <c r="H27" s="13" t="s">
        <v>27</v>
      </c>
      <c r="I27" s="40" t="s">
        <v>100</v>
      </c>
      <c r="J27" s="12" t="s">
        <v>23</v>
      </c>
      <c r="L27" s="1" t="str">
        <f t="shared" si="0"/>
        <v>South Africa</v>
      </c>
      <c r="M27" s="2">
        <f t="shared" si="1"/>
        <v>1</v>
      </c>
      <c r="N27" s="2">
        <f t="shared" si="2"/>
        <v>1</v>
      </c>
      <c r="O27" s="2">
        <f t="shared" si="3"/>
        <v>0</v>
      </c>
      <c r="P27" s="2">
        <f t="shared" si="4"/>
        <v>0</v>
      </c>
      <c r="Q27" s="2">
        <f t="shared" si="5"/>
        <v>1</v>
      </c>
      <c r="R27" s="2">
        <f t="shared" si="6"/>
        <v>0</v>
      </c>
      <c r="S27" s="1" t="str">
        <f t="shared" si="7"/>
        <v>Slovenia</v>
      </c>
      <c r="T27" s="2">
        <f t="shared" si="8"/>
        <v>1</v>
      </c>
      <c r="U27" s="2">
        <f t="shared" si="9"/>
        <v>0</v>
      </c>
      <c r="V27" s="2">
        <f t="shared" si="10"/>
        <v>0</v>
      </c>
      <c r="W27" s="2">
        <f t="shared" si="11"/>
        <v>1</v>
      </c>
      <c r="X27" s="2">
        <f t="shared" si="12"/>
        <v>0</v>
      </c>
      <c r="Y27" s="2">
        <f t="shared" si="13"/>
        <v>1</v>
      </c>
      <c r="AA27" s="1">
        <f t="shared" si="30"/>
        <v>225</v>
      </c>
      <c r="AB27" s="14">
        <f t="shared" si="15"/>
        <v>37415</v>
      </c>
      <c r="AC27" s="3">
        <f t="shared" si="16"/>
        <v>0.6458333333333334</v>
      </c>
      <c r="AD27" s="1" t="str">
        <f t="shared" si="17"/>
        <v>South Africa</v>
      </c>
      <c r="AE27" s="2">
        <f t="shared" si="18"/>
        <v>1</v>
      </c>
      <c r="AF27" s="1" t="str">
        <f t="shared" si="19"/>
        <v>Slovenia</v>
      </c>
      <c r="AG27" s="2">
        <f t="shared" si="20"/>
        <v>0</v>
      </c>
      <c r="AH27" s="1" t="str">
        <f t="shared" si="21"/>
        <v>B</v>
      </c>
      <c r="AI27" s="1">
        <f t="shared" si="31"/>
        <v>224</v>
      </c>
      <c r="AJ27" s="14">
        <f t="shared" si="23"/>
        <v>37415</v>
      </c>
      <c r="AK27" s="3">
        <f t="shared" si="24"/>
        <v>0.6458333333333334</v>
      </c>
      <c r="AL27" s="1" t="str">
        <f t="shared" si="25"/>
        <v>Slovenia</v>
      </c>
      <c r="AM27" s="2">
        <f t="shared" si="26"/>
        <v>0</v>
      </c>
      <c r="AN27" s="1" t="str">
        <f t="shared" si="27"/>
        <v>South Africa</v>
      </c>
      <c r="AO27" s="2">
        <f t="shared" si="28"/>
        <v>1</v>
      </c>
      <c r="AP27" s="1" t="str">
        <f t="shared" si="29"/>
        <v>B</v>
      </c>
    </row>
    <row r="28" spans="1:42" ht="11.25" thickBot="1">
      <c r="A28" s="37">
        <v>37415</v>
      </c>
      <c r="B28" s="8">
        <v>0.75</v>
      </c>
      <c r="C28" s="9" t="s">
        <v>34</v>
      </c>
      <c r="D28" s="9"/>
      <c r="E28" s="10">
        <v>1</v>
      </c>
      <c r="F28" s="11">
        <v>2</v>
      </c>
      <c r="G28" s="12"/>
      <c r="H28" s="13" t="s">
        <v>28</v>
      </c>
      <c r="I28" s="40" t="s">
        <v>113</v>
      </c>
      <c r="J28" s="12" t="s">
        <v>30</v>
      </c>
      <c r="L28" s="1" t="str">
        <f t="shared" si="0"/>
        <v>Italy</v>
      </c>
      <c r="M28" s="2">
        <f t="shared" si="1"/>
        <v>1</v>
      </c>
      <c r="N28" s="2">
        <f t="shared" si="2"/>
        <v>0</v>
      </c>
      <c r="O28" s="2">
        <f t="shared" si="3"/>
        <v>0</v>
      </c>
      <c r="P28" s="2">
        <f t="shared" si="4"/>
        <v>1</v>
      </c>
      <c r="Q28" s="2">
        <f t="shared" si="5"/>
        <v>1</v>
      </c>
      <c r="R28" s="2">
        <f t="shared" si="6"/>
        <v>2</v>
      </c>
      <c r="S28" s="1" t="str">
        <f t="shared" si="7"/>
        <v>Croatia</v>
      </c>
      <c r="T28" s="2">
        <f t="shared" si="8"/>
        <v>1</v>
      </c>
      <c r="U28" s="2">
        <f t="shared" si="9"/>
        <v>1</v>
      </c>
      <c r="V28" s="2">
        <f t="shared" si="10"/>
        <v>0</v>
      </c>
      <c r="W28" s="2">
        <f t="shared" si="11"/>
        <v>0</v>
      </c>
      <c r="X28" s="2">
        <f t="shared" si="12"/>
        <v>2</v>
      </c>
      <c r="Y28" s="2">
        <f t="shared" si="13"/>
        <v>1</v>
      </c>
      <c r="AA28" s="1">
        <f t="shared" si="30"/>
        <v>214</v>
      </c>
      <c r="AB28" s="14">
        <f t="shared" si="15"/>
        <v>37415</v>
      </c>
      <c r="AC28" s="3">
        <f t="shared" si="16"/>
        <v>0.75</v>
      </c>
      <c r="AD28" s="1" t="str">
        <f t="shared" si="17"/>
        <v>Italy</v>
      </c>
      <c r="AE28" s="2">
        <f t="shared" si="18"/>
        <v>1</v>
      </c>
      <c r="AF28" s="1" t="str">
        <f t="shared" si="19"/>
        <v>Croatia</v>
      </c>
      <c r="AG28" s="2">
        <f t="shared" si="20"/>
        <v>2</v>
      </c>
      <c r="AH28" s="1" t="str">
        <f t="shared" si="21"/>
        <v>G</v>
      </c>
      <c r="AI28" s="1">
        <f t="shared" si="31"/>
        <v>207</v>
      </c>
      <c r="AJ28" s="14">
        <f t="shared" si="23"/>
        <v>37415</v>
      </c>
      <c r="AK28" s="3">
        <f t="shared" si="24"/>
        <v>0.75</v>
      </c>
      <c r="AL28" s="1" t="str">
        <f t="shared" si="25"/>
        <v>Croatia</v>
      </c>
      <c r="AM28" s="2">
        <f t="shared" si="26"/>
        <v>2</v>
      </c>
      <c r="AN28" s="1" t="str">
        <f t="shared" si="27"/>
        <v>Italy</v>
      </c>
      <c r="AO28" s="2">
        <f t="shared" si="28"/>
        <v>1</v>
      </c>
      <c r="AP28" s="1" t="str">
        <f t="shared" si="29"/>
        <v>G</v>
      </c>
    </row>
    <row r="29" spans="1:42" ht="11.25" thickBot="1">
      <c r="A29" s="37">
        <v>37415</v>
      </c>
      <c r="B29" s="8">
        <v>0.8541666666666666</v>
      </c>
      <c r="C29" s="9" t="s">
        <v>31</v>
      </c>
      <c r="D29" s="9"/>
      <c r="E29" s="10">
        <v>4</v>
      </c>
      <c r="F29" s="11">
        <v>0</v>
      </c>
      <c r="G29" s="12"/>
      <c r="H29" s="13" t="s">
        <v>36</v>
      </c>
      <c r="I29" s="40" t="s">
        <v>89</v>
      </c>
      <c r="J29" s="12" t="s">
        <v>33</v>
      </c>
      <c r="L29" s="1" t="str">
        <f t="shared" si="0"/>
        <v>Brazil</v>
      </c>
      <c r="M29" s="2">
        <f t="shared" si="1"/>
        <v>1</v>
      </c>
      <c r="N29" s="2">
        <f t="shared" si="2"/>
        <v>1</v>
      </c>
      <c r="O29" s="2">
        <f t="shared" si="3"/>
        <v>0</v>
      </c>
      <c r="P29" s="2">
        <f t="shared" si="4"/>
        <v>0</v>
      </c>
      <c r="Q29" s="2">
        <f t="shared" si="5"/>
        <v>4</v>
      </c>
      <c r="R29" s="2">
        <f t="shared" si="6"/>
        <v>0</v>
      </c>
      <c r="S29" s="1" t="str">
        <f t="shared" si="7"/>
        <v>China</v>
      </c>
      <c r="T29" s="2">
        <f t="shared" si="8"/>
        <v>1</v>
      </c>
      <c r="U29" s="2">
        <f t="shared" si="9"/>
        <v>0</v>
      </c>
      <c r="V29" s="2">
        <f t="shared" si="10"/>
        <v>0</v>
      </c>
      <c r="W29" s="2">
        <f t="shared" si="11"/>
        <v>1</v>
      </c>
      <c r="X29" s="2">
        <f t="shared" si="12"/>
        <v>0</v>
      </c>
      <c r="Y29" s="2">
        <f t="shared" si="13"/>
        <v>4</v>
      </c>
      <c r="AA29" s="1">
        <f t="shared" si="30"/>
        <v>203</v>
      </c>
      <c r="AB29" s="14">
        <f t="shared" si="15"/>
        <v>37415</v>
      </c>
      <c r="AC29" s="3">
        <f t="shared" si="16"/>
        <v>0.8541666666666666</v>
      </c>
      <c r="AD29" s="1" t="str">
        <f t="shared" si="17"/>
        <v>Brazil</v>
      </c>
      <c r="AE29" s="2">
        <f t="shared" si="18"/>
        <v>4</v>
      </c>
      <c r="AF29" s="1" t="str">
        <f t="shared" si="19"/>
        <v>China</v>
      </c>
      <c r="AG29" s="2">
        <f t="shared" si="20"/>
        <v>0</v>
      </c>
      <c r="AH29" s="1" t="str">
        <f t="shared" si="21"/>
        <v>C</v>
      </c>
      <c r="AI29" s="1">
        <f t="shared" si="31"/>
        <v>205</v>
      </c>
      <c r="AJ29" s="14">
        <f t="shared" si="23"/>
        <v>37415</v>
      </c>
      <c r="AK29" s="3">
        <f t="shared" si="24"/>
        <v>0.8541666666666666</v>
      </c>
      <c r="AL29" s="1" t="str">
        <f t="shared" si="25"/>
        <v>China</v>
      </c>
      <c r="AM29" s="2">
        <f t="shared" si="26"/>
        <v>0</v>
      </c>
      <c r="AN29" s="1" t="str">
        <f t="shared" si="27"/>
        <v>Brazil</v>
      </c>
      <c r="AO29" s="2">
        <f t="shared" si="28"/>
        <v>4</v>
      </c>
      <c r="AP29" s="1" t="str">
        <f t="shared" si="29"/>
        <v>C</v>
      </c>
    </row>
    <row r="30" spans="1:42" ht="11.25" thickBot="1">
      <c r="A30" s="37">
        <v>37416</v>
      </c>
      <c r="B30" s="8">
        <v>0.6458333333333334</v>
      </c>
      <c r="C30" s="9" t="s">
        <v>29</v>
      </c>
      <c r="D30" s="9"/>
      <c r="E30" s="10"/>
      <c r="F30" s="11"/>
      <c r="G30" s="12"/>
      <c r="H30" s="13" t="s">
        <v>35</v>
      </c>
      <c r="I30" s="40" t="s">
        <v>101</v>
      </c>
      <c r="J30" s="12" t="s">
        <v>30</v>
      </c>
      <c r="L30" s="1" t="str">
        <f t="shared" si="0"/>
        <v>Mexico</v>
      </c>
      <c r="M30" s="2">
        <f t="shared" si="1"/>
        <v>0</v>
      </c>
      <c r="N30" s="2">
        <f t="shared" si="2"/>
        <v>0</v>
      </c>
      <c r="O30" s="2">
        <f t="shared" si="3"/>
        <v>0</v>
      </c>
      <c r="P30" s="2">
        <f t="shared" si="4"/>
        <v>0</v>
      </c>
      <c r="Q30" s="2">
        <f t="shared" si="5"/>
        <v>0</v>
      </c>
      <c r="R30" s="2">
        <f t="shared" si="6"/>
        <v>0</v>
      </c>
      <c r="S30" s="1" t="str">
        <f t="shared" si="7"/>
        <v>Ecuador</v>
      </c>
      <c r="T30" s="2">
        <f t="shared" si="8"/>
        <v>0</v>
      </c>
      <c r="U30" s="2">
        <f t="shared" si="9"/>
        <v>0</v>
      </c>
      <c r="V30" s="2">
        <f t="shared" si="10"/>
        <v>0</v>
      </c>
      <c r="W30" s="2">
        <f t="shared" si="11"/>
        <v>0</v>
      </c>
      <c r="X30" s="2">
        <f t="shared" si="12"/>
        <v>0</v>
      </c>
      <c r="Y30" s="2">
        <f t="shared" si="13"/>
        <v>0</v>
      </c>
      <c r="AA30" s="1">
        <f t="shared" si="30"/>
        <v>216</v>
      </c>
      <c r="AB30" s="14">
        <f t="shared" si="15"/>
        <v>37416</v>
      </c>
      <c r="AC30" s="3">
        <f t="shared" si="16"/>
        <v>0.6458333333333334</v>
      </c>
      <c r="AD30" s="1" t="str">
        <f t="shared" si="17"/>
        <v>Mexico</v>
      </c>
      <c r="AE30" s="2">
        <f t="shared" si="18"/>
      </c>
      <c r="AF30" s="1" t="str">
        <f t="shared" si="19"/>
        <v>Ecuador</v>
      </c>
      <c r="AG30" s="2">
        <f t="shared" si="20"/>
      </c>
      <c r="AH30" s="1" t="str">
        <f t="shared" si="21"/>
        <v>G</v>
      </c>
      <c r="AI30" s="1">
        <f t="shared" si="31"/>
        <v>209</v>
      </c>
      <c r="AJ30" s="14">
        <f t="shared" si="23"/>
        <v>37416</v>
      </c>
      <c r="AK30" s="3">
        <f t="shared" si="24"/>
        <v>0.6458333333333334</v>
      </c>
      <c r="AL30" s="1" t="str">
        <f t="shared" si="25"/>
        <v>Ecuador</v>
      </c>
      <c r="AM30" s="2">
        <f t="shared" si="26"/>
      </c>
      <c r="AN30" s="1" t="str">
        <f t="shared" si="27"/>
        <v>Mexico</v>
      </c>
      <c r="AO30" s="2">
        <f t="shared" si="28"/>
      </c>
      <c r="AP30" s="1" t="str">
        <f t="shared" si="29"/>
        <v>G</v>
      </c>
    </row>
    <row r="31" spans="1:42" ht="11.25" thickBot="1">
      <c r="A31" s="37">
        <v>37416</v>
      </c>
      <c r="B31" s="8">
        <v>0.75</v>
      </c>
      <c r="C31" s="9" t="s">
        <v>37</v>
      </c>
      <c r="D31" s="9"/>
      <c r="E31" s="10"/>
      <c r="F31" s="11"/>
      <c r="G31" s="12"/>
      <c r="H31" s="13" t="s">
        <v>32</v>
      </c>
      <c r="I31" s="40" t="s">
        <v>114</v>
      </c>
      <c r="J31" s="12" t="s">
        <v>33</v>
      </c>
      <c r="L31" s="1" t="str">
        <f t="shared" si="0"/>
        <v>Costa Rica</v>
      </c>
      <c r="M31" s="2">
        <f t="shared" si="1"/>
        <v>0</v>
      </c>
      <c r="N31" s="2">
        <f t="shared" si="2"/>
        <v>0</v>
      </c>
      <c r="O31" s="2">
        <f t="shared" si="3"/>
        <v>0</v>
      </c>
      <c r="P31" s="2">
        <f t="shared" si="4"/>
        <v>0</v>
      </c>
      <c r="Q31" s="2">
        <f t="shared" si="5"/>
        <v>0</v>
      </c>
      <c r="R31" s="2">
        <f t="shared" si="6"/>
        <v>0</v>
      </c>
      <c r="S31" s="1" t="str">
        <f t="shared" si="7"/>
        <v>Turkey</v>
      </c>
      <c r="T31" s="2">
        <f t="shared" si="8"/>
        <v>0</v>
      </c>
      <c r="U31" s="2">
        <f t="shared" si="9"/>
        <v>0</v>
      </c>
      <c r="V31" s="2">
        <f t="shared" si="10"/>
        <v>0</v>
      </c>
      <c r="W31" s="2">
        <f t="shared" si="11"/>
        <v>0</v>
      </c>
      <c r="X31" s="2">
        <f t="shared" si="12"/>
        <v>0</v>
      </c>
      <c r="Y31" s="2">
        <f t="shared" si="13"/>
        <v>0</v>
      </c>
      <c r="AA31" s="1">
        <f t="shared" si="30"/>
        <v>206</v>
      </c>
      <c r="AB31" s="14">
        <f t="shared" si="15"/>
        <v>37416</v>
      </c>
      <c r="AC31" s="3">
        <f t="shared" si="16"/>
        <v>0.75</v>
      </c>
      <c r="AD31" s="1" t="str">
        <f t="shared" si="17"/>
        <v>Costa Rica</v>
      </c>
      <c r="AE31" s="2">
        <f t="shared" si="18"/>
      </c>
      <c r="AF31" s="1" t="str">
        <f t="shared" si="19"/>
        <v>Turkey</v>
      </c>
      <c r="AG31" s="2">
        <f t="shared" si="20"/>
      </c>
      <c r="AH31" s="1" t="str">
        <f t="shared" si="21"/>
        <v>C</v>
      </c>
      <c r="AI31" s="1">
        <f t="shared" si="31"/>
        <v>230</v>
      </c>
      <c r="AJ31" s="14">
        <f t="shared" si="23"/>
        <v>37416</v>
      </c>
      <c r="AK31" s="3">
        <f t="shared" si="24"/>
        <v>0.75</v>
      </c>
      <c r="AL31" s="1" t="str">
        <f t="shared" si="25"/>
        <v>Turkey</v>
      </c>
      <c r="AM31" s="2">
        <f t="shared" si="26"/>
      </c>
      <c r="AN31" s="1" t="str">
        <f t="shared" si="27"/>
        <v>Costa Rica</v>
      </c>
      <c r="AO31" s="2">
        <f t="shared" si="28"/>
      </c>
      <c r="AP31" s="1" t="str">
        <f t="shared" si="29"/>
        <v>C</v>
      </c>
    </row>
    <row r="32" spans="1:42" ht="11.25" thickBot="1">
      <c r="A32" s="37">
        <v>37416</v>
      </c>
      <c r="B32" s="8">
        <v>0.8541666666666666</v>
      </c>
      <c r="C32" s="9" t="s">
        <v>38</v>
      </c>
      <c r="D32" s="9"/>
      <c r="E32" s="10"/>
      <c r="F32" s="11"/>
      <c r="G32" s="12"/>
      <c r="H32" s="13" t="s">
        <v>43</v>
      </c>
      <c r="I32" s="40" t="s">
        <v>90</v>
      </c>
      <c r="J32" s="12" t="s">
        <v>40</v>
      </c>
      <c r="L32" s="1" t="str">
        <f t="shared" si="0"/>
        <v>Japan</v>
      </c>
      <c r="M32" s="2">
        <f t="shared" si="1"/>
        <v>0</v>
      </c>
      <c r="N32" s="2">
        <f t="shared" si="2"/>
        <v>0</v>
      </c>
      <c r="O32" s="2">
        <f t="shared" si="3"/>
        <v>0</v>
      </c>
      <c r="P32" s="2">
        <f t="shared" si="4"/>
        <v>0</v>
      </c>
      <c r="Q32" s="2">
        <f t="shared" si="5"/>
        <v>0</v>
      </c>
      <c r="R32" s="2">
        <f t="shared" si="6"/>
        <v>0</v>
      </c>
      <c r="S32" s="1" t="str">
        <f t="shared" si="7"/>
        <v>Russia</v>
      </c>
      <c r="T32" s="2">
        <f t="shared" si="8"/>
        <v>0</v>
      </c>
      <c r="U32" s="2">
        <f t="shared" si="9"/>
        <v>0</v>
      </c>
      <c r="V32" s="2">
        <f t="shared" si="10"/>
        <v>0</v>
      </c>
      <c r="W32" s="2">
        <f t="shared" si="11"/>
        <v>0</v>
      </c>
      <c r="X32" s="2">
        <f t="shared" si="12"/>
        <v>0</v>
      </c>
      <c r="Y32" s="2">
        <f t="shared" si="13"/>
        <v>0</v>
      </c>
      <c r="AA32" s="1">
        <f t="shared" si="30"/>
        <v>215</v>
      </c>
      <c r="AB32" s="14">
        <f t="shared" si="15"/>
        <v>37416</v>
      </c>
      <c r="AC32" s="3">
        <f t="shared" si="16"/>
        <v>0.8541666666666666</v>
      </c>
      <c r="AD32" s="1" t="str">
        <f t="shared" si="17"/>
        <v>Japan</v>
      </c>
      <c r="AE32" s="2">
        <f t="shared" si="18"/>
      </c>
      <c r="AF32" s="1" t="str">
        <f t="shared" si="19"/>
        <v>Russia</v>
      </c>
      <c r="AG32" s="2">
        <f t="shared" si="20"/>
      </c>
      <c r="AH32" s="1" t="str">
        <f t="shared" si="21"/>
        <v>H</v>
      </c>
      <c r="AI32" s="1">
        <f t="shared" si="31"/>
        <v>221</v>
      </c>
      <c r="AJ32" s="14">
        <f t="shared" si="23"/>
        <v>37416</v>
      </c>
      <c r="AK32" s="3">
        <f t="shared" si="24"/>
        <v>0.8541666666666666</v>
      </c>
      <c r="AL32" s="1" t="str">
        <f t="shared" si="25"/>
        <v>Russia</v>
      </c>
      <c r="AM32" s="2">
        <f t="shared" si="26"/>
      </c>
      <c r="AN32" s="1" t="str">
        <f t="shared" si="27"/>
        <v>Japan</v>
      </c>
      <c r="AO32" s="2">
        <f t="shared" si="28"/>
      </c>
      <c r="AP32" s="1" t="str">
        <f t="shared" si="29"/>
        <v>H</v>
      </c>
    </row>
    <row r="33" spans="1:42" ht="11.25" thickBot="1">
      <c r="A33" s="37">
        <v>37417</v>
      </c>
      <c r="B33" s="8">
        <v>0.6458333333333334</v>
      </c>
      <c r="C33" s="9" t="s">
        <v>41</v>
      </c>
      <c r="D33" s="9"/>
      <c r="E33" s="10"/>
      <c r="F33" s="11"/>
      <c r="G33" s="12"/>
      <c r="H33" s="13" t="s">
        <v>45</v>
      </c>
      <c r="I33" s="40" t="s">
        <v>100</v>
      </c>
      <c r="J33" s="12" t="s">
        <v>6</v>
      </c>
      <c r="L33" s="1" t="str">
        <f t="shared" si="0"/>
        <v>South Korea</v>
      </c>
      <c r="M33" s="2">
        <f t="shared" si="1"/>
        <v>0</v>
      </c>
      <c r="N33" s="2">
        <f t="shared" si="2"/>
        <v>0</v>
      </c>
      <c r="O33" s="2">
        <f t="shared" si="3"/>
        <v>0</v>
      </c>
      <c r="P33" s="2">
        <f t="shared" si="4"/>
        <v>0</v>
      </c>
      <c r="Q33" s="2">
        <f t="shared" si="5"/>
        <v>0</v>
      </c>
      <c r="R33" s="2">
        <f t="shared" si="6"/>
        <v>0</v>
      </c>
      <c r="S33" s="1" t="str">
        <f t="shared" si="7"/>
        <v>USA</v>
      </c>
      <c r="T33" s="2">
        <f t="shared" si="8"/>
        <v>0</v>
      </c>
      <c r="U33" s="2">
        <f t="shared" si="9"/>
        <v>0</v>
      </c>
      <c r="V33" s="2">
        <f t="shared" si="10"/>
        <v>0</v>
      </c>
      <c r="W33" s="2">
        <f t="shared" si="11"/>
        <v>0</v>
      </c>
      <c r="X33" s="2">
        <f t="shared" si="12"/>
        <v>0</v>
      </c>
      <c r="Y33" s="2">
        <f t="shared" si="13"/>
        <v>0</v>
      </c>
      <c r="AA33" s="1">
        <f t="shared" si="30"/>
        <v>226</v>
      </c>
      <c r="AB33" s="14">
        <f t="shared" si="15"/>
        <v>37417</v>
      </c>
      <c r="AC33" s="3">
        <f t="shared" si="16"/>
        <v>0.6458333333333334</v>
      </c>
      <c r="AD33" s="1" t="str">
        <f t="shared" si="17"/>
        <v>South Korea</v>
      </c>
      <c r="AE33" s="2">
        <f t="shared" si="18"/>
      </c>
      <c r="AF33" s="1" t="str">
        <f t="shared" si="19"/>
        <v>USA</v>
      </c>
      <c r="AG33" s="2">
        <f t="shared" si="20"/>
      </c>
      <c r="AH33" s="1" t="str">
        <f t="shared" si="21"/>
        <v>D</v>
      </c>
      <c r="AI33" s="1">
        <f t="shared" si="31"/>
        <v>232</v>
      </c>
      <c r="AJ33" s="14">
        <f t="shared" si="23"/>
        <v>37417</v>
      </c>
      <c r="AK33" s="3">
        <f t="shared" si="24"/>
        <v>0.6458333333333334</v>
      </c>
      <c r="AL33" s="1" t="str">
        <f t="shared" si="25"/>
        <v>USA</v>
      </c>
      <c r="AM33" s="2">
        <f t="shared" si="26"/>
      </c>
      <c r="AN33" s="1" t="str">
        <f t="shared" si="27"/>
        <v>South Korea</v>
      </c>
      <c r="AO33" s="2">
        <f t="shared" si="28"/>
      </c>
      <c r="AP33" s="1" t="str">
        <f t="shared" si="29"/>
        <v>D</v>
      </c>
    </row>
    <row r="34" spans="1:42" ht="11.25" thickBot="1">
      <c r="A34" s="37">
        <v>37417</v>
      </c>
      <c r="B34" s="8">
        <v>0.75</v>
      </c>
      <c r="C34" s="9" t="s">
        <v>44</v>
      </c>
      <c r="D34" s="9"/>
      <c r="E34" s="10"/>
      <c r="F34" s="11"/>
      <c r="G34" s="12"/>
      <c r="H34" s="13" t="s">
        <v>39</v>
      </c>
      <c r="I34" s="40" t="s">
        <v>115</v>
      </c>
      <c r="J34" s="12" t="s">
        <v>40</v>
      </c>
      <c r="L34" s="1" t="str">
        <f t="shared" si="0"/>
        <v>Tunisia</v>
      </c>
      <c r="M34" s="2">
        <f t="shared" si="1"/>
        <v>0</v>
      </c>
      <c r="N34" s="2">
        <f t="shared" si="2"/>
        <v>0</v>
      </c>
      <c r="O34" s="2">
        <f t="shared" si="3"/>
        <v>0</v>
      </c>
      <c r="P34" s="2">
        <f t="shared" si="4"/>
        <v>0</v>
      </c>
      <c r="Q34" s="2">
        <f t="shared" si="5"/>
        <v>0</v>
      </c>
      <c r="R34" s="2">
        <f t="shared" si="6"/>
        <v>0</v>
      </c>
      <c r="S34" s="1" t="str">
        <f t="shared" si="7"/>
        <v>Belgium</v>
      </c>
      <c r="T34" s="2">
        <f t="shared" si="8"/>
        <v>0</v>
      </c>
      <c r="U34" s="2">
        <f t="shared" si="9"/>
        <v>0</v>
      </c>
      <c r="V34" s="2">
        <f t="shared" si="10"/>
        <v>0</v>
      </c>
      <c r="W34" s="2">
        <f t="shared" si="11"/>
        <v>0</v>
      </c>
      <c r="X34" s="2">
        <f t="shared" si="12"/>
        <v>0</v>
      </c>
      <c r="Y34" s="2">
        <f t="shared" si="13"/>
        <v>0</v>
      </c>
      <c r="AA34" s="1">
        <f t="shared" si="30"/>
        <v>229</v>
      </c>
      <c r="AB34" s="14">
        <f t="shared" si="15"/>
        <v>37417</v>
      </c>
      <c r="AC34" s="3">
        <f t="shared" si="16"/>
        <v>0.75</v>
      </c>
      <c r="AD34" s="1" t="str">
        <f t="shared" si="17"/>
        <v>Tunisia</v>
      </c>
      <c r="AE34" s="2">
        <f t="shared" si="18"/>
      </c>
      <c r="AF34" s="1" t="str">
        <f t="shared" si="19"/>
        <v>Belgium</v>
      </c>
      <c r="AG34" s="2">
        <f t="shared" si="20"/>
      </c>
      <c r="AH34" s="1" t="str">
        <f t="shared" si="21"/>
        <v>H</v>
      </c>
      <c r="AI34" s="1">
        <f t="shared" si="31"/>
        <v>202</v>
      </c>
      <c r="AJ34" s="14">
        <f t="shared" si="23"/>
        <v>37417</v>
      </c>
      <c r="AK34" s="3">
        <f t="shared" si="24"/>
        <v>0.75</v>
      </c>
      <c r="AL34" s="1" t="str">
        <f t="shared" si="25"/>
        <v>Belgium</v>
      </c>
      <c r="AM34" s="2">
        <f t="shared" si="26"/>
      </c>
      <c r="AN34" s="1" t="str">
        <f t="shared" si="27"/>
        <v>Tunisia</v>
      </c>
      <c r="AO34" s="2">
        <f t="shared" si="28"/>
      </c>
      <c r="AP34" s="1" t="str">
        <f t="shared" si="29"/>
        <v>H</v>
      </c>
    </row>
    <row r="35" spans="1:42" ht="11.25" thickBot="1">
      <c r="A35" s="37">
        <v>37417</v>
      </c>
      <c r="B35" s="8">
        <v>0.8541666666666666</v>
      </c>
      <c r="C35" s="9" t="s">
        <v>46</v>
      </c>
      <c r="D35" s="9"/>
      <c r="E35" s="10"/>
      <c r="F35" s="11"/>
      <c r="G35" s="12"/>
      <c r="H35" s="13" t="s">
        <v>42</v>
      </c>
      <c r="I35" s="40" t="s">
        <v>91</v>
      </c>
      <c r="J35" s="12" t="s">
        <v>6</v>
      </c>
      <c r="L35" s="1" t="str">
        <f t="shared" si="0"/>
        <v>Portugal</v>
      </c>
      <c r="M35" s="2">
        <f t="shared" si="1"/>
        <v>0</v>
      </c>
      <c r="N35" s="2">
        <f t="shared" si="2"/>
        <v>0</v>
      </c>
      <c r="O35" s="2">
        <f t="shared" si="3"/>
        <v>0</v>
      </c>
      <c r="P35" s="2">
        <f t="shared" si="4"/>
        <v>0</v>
      </c>
      <c r="Q35" s="2">
        <f t="shared" si="5"/>
        <v>0</v>
      </c>
      <c r="R35" s="2">
        <f t="shared" si="6"/>
        <v>0</v>
      </c>
      <c r="S35" s="1" t="str">
        <f t="shared" si="7"/>
        <v>Poland</v>
      </c>
      <c r="T35" s="2">
        <f t="shared" si="8"/>
        <v>0</v>
      </c>
      <c r="U35" s="2">
        <f t="shared" si="9"/>
        <v>0</v>
      </c>
      <c r="V35" s="2">
        <f t="shared" si="10"/>
        <v>0</v>
      </c>
      <c r="W35" s="2">
        <f t="shared" si="11"/>
        <v>0</v>
      </c>
      <c r="X35" s="2">
        <f t="shared" si="12"/>
        <v>0</v>
      </c>
      <c r="Y35" s="2">
        <f t="shared" si="13"/>
        <v>0</v>
      </c>
      <c r="AA35" s="1">
        <f t="shared" si="30"/>
        <v>220</v>
      </c>
      <c r="AB35" s="14">
        <f t="shared" si="15"/>
        <v>37417</v>
      </c>
      <c r="AC35" s="3">
        <f t="shared" si="16"/>
        <v>0.8541666666666666</v>
      </c>
      <c r="AD35" s="1" t="str">
        <f t="shared" si="17"/>
        <v>Portugal</v>
      </c>
      <c r="AE35" s="2">
        <f t="shared" si="18"/>
      </c>
      <c r="AF35" s="1" t="str">
        <f t="shared" si="19"/>
        <v>Poland</v>
      </c>
      <c r="AG35" s="2">
        <f t="shared" si="20"/>
      </c>
      <c r="AH35" s="1" t="str">
        <f t="shared" si="21"/>
        <v>D</v>
      </c>
      <c r="AI35" s="1">
        <f t="shared" si="31"/>
        <v>219</v>
      </c>
      <c r="AJ35" s="14">
        <f t="shared" si="23"/>
        <v>37417</v>
      </c>
      <c r="AK35" s="3">
        <f t="shared" si="24"/>
        <v>0.8541666666666666</v>
      </c>
      <c r="AL35" s="1" t="str">
        <f t="shared" si="25"/>
        <v>Poland</v>
      </c>
      <c r="AM35" s="2">
        <f t="shared" si="26"/>
      </c>
      <c r="AN35" s="1" t="str">
        <f t="shared" si="27"/>
        <v>Portugal</v>
      </c>
      <c r="AO35" s="2">
        <f t="shared" si="28"/>
      </c>
      <c r="AP35" s="1" t="str">
        <f t="shared" si="29"/>
        <v>D</v>
      </c>
    </row>
    <row r="36" spans="1:42" ht="11.25" thickBot="1">
      <c r="A36" s="37">
        <v>37418</v>
      </c>
      <c r="B36" s="8">
        <v>0.6458333333333334</v>
      </c>
      <c r="C36" s="9" t="s">
        <v>11</v>
      </c>
      <c r="D36" s="9"/>
      <c r="E36" s="10"/>
      <c r="F36" s="11"/>
      <c r="G36" s="12"/>
      <c r="H36" s="13" t="s">
        <v>15</v>
      </c>
      <c r="I36" s="40" t="s">
        <v>102</v>
      </c>
      <c r="J36" s="12" t="s">
        <v>9</v>
      </c>
      <c r="L36" s="1" t="str">
        <f t="shared" si="0"/>
        <v>Senegal</v>
      </c>
      <c r="M36" s="2">
        <f t="shared" si="1"/>
        <v>0</v>
      </c>
      <c r="N36" s="2">
        <f t="shared" si="2"/>
        <v>0</v>
      </c>
      <c r="O36" s="2">
        <f t="shared" si="3"/>
        <v>0</v>
      </c>
      <c r="P36" s="2">
        <f t="shared" si="4"/>
        <v>0</v>
      </c>
      <c r="Q36" s="2">
        <f t="shared" si="5"/>
        <v>0</v>
      </c>
      <c r="R36" s="2">
        <f t="shared" si="6"/>
        <v>0</v>
      </c>
      <c r="S36" s="1" t="str">
        <f t="shared" si="7"/>
        <v>Uruguay</v>
      </c>
      <c r="T36" s="2">
        <f t="shared" si="8"/>
        <v>0</v>
      </c>
      <c r="U36" s="2">
        <f t="shared" si="9"/>
        <v>0</v>
      </c>
      <c r="V36" s="2">
        <f t="shared" si="10"/>
        <v>0</v>
      </c>
      <c r="W36" s="2">
        <f t="shared" si="11"/>
        <v>0</v>
      </c>
      <c r="X36" s="2">
        <f t="shared" si="12"/>
        <v>0</v>
      </c>
      <c r="Y36" s="2">
        <f t="shared" si="13"/>
        <v>0</v>
      </c>
      <c r="AA36" s="1">
        <f aca="true" t="shared" si="32" ref="AA36:AA51">300+VLOOKUP(AD36,TeamToNum,2,FALSE)</f>
        <v>323</v>
      </c>
      <c r="AB36" s="14">
        <f t="shared" si="15"/>
        <v>37418</v>
      </c>
      <c r="AC36" s="3">
        <f t="shared" si="16"/>
        <v>0.6458333333333334</v>
      </c>
      <c r="AD36" s="1" t="str">
        <f t="shared" si="17"/>
        <v>Senegal</v>
      </c>
      <c r="AE36" s="2">
        <f t="shared" si="18"/>
      </c>
      <c r="AF36" s="1" t="str">
        <f t="shared" si="19"/>
        <v>Uruguay</v>
      </c>
      <c r="AG36" s="2">
        <f t="shared" si="20"/>
      </c>
      <c r="AH36" s="1" t="str">
        <f t="shared" si="21"/>
        <v>A</v>
      </c>
      <c r="AI36" s="1">
        <f aca="true" t="shared" si="33" ref="AI36:AI51">300+VLOOKUP(AL36,TeamToNum,2,FALSE)</f>
        <v>331</v>
      </c>
      <c r="AJ36" s="14">
        <f t="shared" si="23"/>
        <v>37418</v>
      </c>
      <c r="AK36" s="3">
        <f t="shared" si="24"/>
        <v>0.6458333333333334</v>
      </c>
      <c r="AL36" s="1" t="str">
        <f t="shared" si="25"/>
        <v>Uruguay</v>
      </c>
      <c r="AM36" s="2">
        <f t="shared" si="26"/>
      </c>
      <c r="AN36" s="1" t="str">
        <f t="shared" si="27"/>
        <v>Senegal</v>
      </c>
      <c r="AO36" s="2">
        <f t="shared" si="28"/>
      </c>
      <c r="AP36" s="1" t="str">
        <f t="shared" si="29"/>
        <v>A</v>
      </c>
    </row>
    <row r="37" spans="1:42" ht="11.25" thickBot="1">
      <c r="A37" s="37">
        <v>37418</v>
      </c>
      <c r="B37" s="8">
        <v>0.6458333333333334</v>
      </c>
      <c r="C37" s="9" t="s">
        <v>16</v>
      </c>
      <c r="D37" s="9"/>
      <c r="E37" s="10"/>
      <c r="F37" s="11"/>
      <c r="G37" s="12"/>
      <c r="H37" s="13" t="s">
        <v>10</v>
      </c>
      <c r="I37" s="40" t="s">
        <v>103</v>
      </c>
      <c r="J37" s="12" t="s">
        <v>9</v>
      </c>
      <c r="L37" s="1" t="str">
        <f t="shared" si="0"/>
        <v>Denmark</v>
      </c>
      <c r="M37" s="2">
        <f t="shared" si="1"/>
        <v>0</v>
      </c>
      <c r="N37" s="2">
        <f t="shared" si="2"/>
        <v>0</v>
      </c>
      <c r="O37" s="2">
        <f t="shared" si="3"/>
        <v>0</v>
      </c>
      <c r="P37" s="2">
        <f t="shared" si="4"/>
        <v>0</v>
      </c>
      <c r="Q37" s="2">
        <f t="shared" si="5"/>
        <v>0</v>
      </c>
      <c r="R37" s="2">
        <f t="shared" si="6"/>
        <v>0</v>
      </c>
      <c r="S37" s="1" t="str">
        <f t="shared" si="7"/>
        <v>France</v>
      </c>
      <c r="T37" s="2">
        <f t="shared" si="8"/>
        <v>0</v>
      </c>
      <c r="U37" s="2">
        <f t="shared" si="9"/>
        <v>0</v>
      </c>
      <c r="V37" s="2">
        <f t="shared" si="10"/>
        <v>0</v>
      </c>
      <c r="W37" s="2">
        <f t="shared" si="11"/>
        <v>0</v>
      </c>
      <c r="X37" s="2">
        <f t="shared" si="12"/>
        <v>0</v>
      </c>
      <c r="Y37" s="2">
        <f t="shared" si="13"/>
        <v>0</v>
      </c>
      <c r="AA37" s="1">
        <f t="shared" si="32"/>
        <v>308</v>
      </c>
      <c r="AB37" s="14">
        <f t="shared" si="15"/>
        <v>37418</v>
      </c>
      <c r="AC37" s="3">
        <f t="shared" si="16"/>
        <v>0.6458333333333334</v>
      </c>
      <c r="AD37" s="1" t="str">
        <f t="shared" si="17"/>
        <v>Denmark</v>
      </c>
      <c r="AE37" s="2">
        <f t="shared" si="18"/>
      </c>
      <c r="AF37" s="1" t="str">
        <f t="shared" si="19"/>
        <v>France</v>
      </c>
      <c r="AG37" s="2">
        <f t="shared" si="20"/>
      </c>
      <c r="AH37" s="1" t="str">
        <f t="shared" si="21"/>
        <v>A</v>
      </c>
      <c r="AI37" s="1">
        <f t="shared" si="33"/>
        <v>311</v>
      </c>
      <c r="AJ37" s="14">
        <f t="shared" si="23"/>
        <v>37418</v>
      </c>
      <c r="AK37" s="3">
        <f t="shared" si="24"/>
        <v>0.6458333333333334</v>
      </c>
      <c r="AL37" s="1" t="str">
        <f t="shared" si="25"/>
        <v>France</v>
      </c>
      <c r="AM37" s="2">
        <f t="shared" si="26"/>
      </c>
      <c r="AN37" s="1" t="str">
        <f t="shared" si="27"/>
        <v>Denmark</v>
      </c>
      <c r="AO37" s="2">
        <f t="shared" si="28"/>
      </c>
      <c r="AP37" s="1" t="str">
        <f t="shared" si="29"/>
        <v>A</v>
      </c>
    </row>
    <row r="38" spans="1:42" ht="11.25" thickBot="1">
      <c r="A38" s="37">
        <v>37418</v>
      </c>
      <c r="B38" s="8">
        <v>0.8541666666666666</v>
      </c>
      <c r="C38" s="9" t="s">
        <v>18</v>
      </c>
      <c r="D38" s="9"/>
      <c r="E38" s="10"/>
      <c r="F38" s="11"/>
      <c r="G38" s="12"/>
      <c r="H38" s="13" t="s">
        <v>12</v>
      </c>
      <c r="I38" s="40" t="s">
        <v>90</v>
      </c>
      <c r="J38" s="12" t="s">
        <v>14</v>
      </c>
      <c r="L38" s="1" t="str">
        <f t="shared" si="0"/>
        <v>Saudi Arabia</v>
      </c>
      <c r="M38" s="2">
        <f t="shared" si="1"/>
        <v>0</v>
      </c>
      <c r="N38" s="2">
        <f t="shared" si="2"/>
        <v>0</v>
      </c>
      <c r="O38" s="2">
        <f t="shared" si="3"/>
        <v>0</v>
      </c>
      <c r="P38" s="2">
        <f t="shared" si="4"/>
        <v>0</v>
      </c>
      <c r="Q38" s="2">
        <f t="shared" si="5"/>
        <v>0</v>
      </c>
      <c r="R38" s="2">
        <f t="shared" si="6"/>
        <v>0</v>
      </c>
      <c r="S38" s="1" t="str">
        <f t="shared" si="7"/>
        <v>Ireland</v>
      </c>
      <c r="T38" s="2">
        <f t="shared" si="8"/>
        <v>0</v>
      </c>
      <c r="U38" s="2">
        <f t="shared" si="9"/>
        <v>0</v>
      </c>
      <c r="V38" s="2">
        <f t="shared" si="10"/>
        <v>0</v>
      </c>
      <c r="W38" s="2">
        <f t="shared" si="11"/>
        <v>0</v>
      </c>
      <c r="X38" s="2">
        <f t="shared" si="12"/>
        <v>0</v>
      </c>
      <c r="Y38" s="2">
        <f t="shared" si="13"/>
        <v>0</v>
      </c>
      <c r="AA38" s="1">
        <f t="shared" si="32"/>
        <v>322</v>
      </c>
      <c r="AB38" s="14">
        <f t="shared" si="15"/>
        <v>37418</v>
      </c>
      <c r="AC38" s="3">
        <f t="shared" si="16"/>
        <v>0.8541666666666666</v>
      </c>
      <c r="AD38" s="1" t="str">
        <f t="shared" si="17"/>
        <v>Saudi Arabia</v>
      </c>
      <c r="AE38" s="2">
        <f t="shared" si="18"/>
      </c>
      <c r="AF38" s="1" t="str">
        <f t="shared" si="19"/>
        <v>Ireland</v>
      </c>
      <c r="AG38" s="2">
        <f t="shared" si="20"/>
      </c>
      <c r="AH38" s="1" t="str">
        <f t="shared" si="21"/>
        <v>E</v>
      </c>
      <c r="AI38" s="1">
        <f t="shared" si="33"/>
        <v>313</v>
      </c>
      <c r="AJ38" s="14">
        <f t="shared" si="23"/>
        <v>37418</v>
      </c>
      <c r="AK38" s="3">
        <f t="shared" si="24"/>
        <v>0.8541666666666666</v>
      </c>
      <c r="AL38" s="1" t="str">
        <f t="shared" si="25"/>
        <v>Ireland</v>
      </c>
      <c r="AM38" s="2">
        <f t="shared" si="26"/>
      </c>
      <c r="AN38" s="1" t="str">
        <f t="shared" si="27"/>
        <v>Saudi Arabia</v>
      </c>
      <c r="AO38" s="2">
        <f t="shared" si="28"/>
      </c>
      <c r="AP38" s="1" t="str">
        <f t="shared" si="29"/>
        <v>E</v>
      </c>
    </row>
    <row r="39" spans="1:42" ht="11.25" thickBot="1">
      <c r="A39" s="37">
        <v>37418</v>
      </c>
      <c r="B39" s="8">
        <v>0.8541666666666666</v>
      </c>
      <c r="C39" s="9" t="s">
        <v>13</v>
      </c>
      <c r="D39" s="9"/>
      <c r="E39" s="10"/>
      <c r="F39" s="11"/>
      <c r="G39" s="12"/>
      <c r="H39" s="13" t="s">
        <v>17</v>
      </c>
      <c r="I39" s="40" t="s">
        <v>92</v>
      </c>
      <c r="J39" s="12" t="s">
        <v>14</v>
      </c>
      <c r="L39" s="1" t="str">
        <f t="shared" si="0"/>
        <v>Cameroon</v>
      </c>
      <c r="M39" s="2">
        <f t="shared" si="1"/>
        <v>0</v>
      </c>
      <c r="N39" s="2">
        <f t="shared" si="2"/>
        <v>0</v>
      </c>
      <c r="O39" s="2">
        <f t="shared" si="3"/>
        <v>0</v>
      </c>
      <c r="P39" s="2">
        <f t="shared" si="4"/>
        <v>0</v>
      </c>
      <c r="Q39" s="2">
        <f t="shared" si="5"/>
        <v>0</v>
      </c>
      <c r="R39" s="2">
        <f t="shared" si="6"/>
        <v>0</v>
      </c>
      <c r="S39" s="1" t="str">
        <f t="shared" si="7"/>
        <v>Germany</v>
      </c>
      <c r="T39" s="2">
        <f t="shared" si="8"/>
        <v>0</v>
      </c>
      <c r="U39" s="2">
        <f t="shared" si="9"/>
        <v>0</v>
      </c>
      <c r="V39" s="2">
        <f t="shared" si="10"/>
        <v>0</v>
      </c>
      <c r="W39" s="2">
        <f t="shared" si="11"/>
        <v>0</v>
      </c>
      <c r="X39" s="2">
        <f t="shared" si="12"/>
        <v>0</v>
      </c>
      <c r="Y39" s="2">
        <f t="shared" si="13"/>
        <v>0</v>
      </c>
      <c r="AA39" s="1">
        <f t="shared" si="32"/>
        <v>304</v>
      </c>
      <c r="AB39" s="14">
        <f t="shared" si="15"/>
        <v>37418</v>
      </c>
      <c r="AC39" s="3">
        <f t="shared" si="16"/>
        <v>0.8541666666666666</v>
      </c>
      <c r="AD39" s="1" t="str">
        <f t="shared" si="17"/>
        <v>Cameroon</v>
      </c>
      <c r="AE39" s="2">
        <f t="shared" si="18"/>
      </c>
      <c r="AF39" s="1" t="str">
        <f t="shared" si="19"/>
        <v>Germany</v>
      </c>
      <c r="AG39" s="2">
        <f t="shared" si="20"/>
      </c>
      <c r="AH39" s="1" t="str">
        <f t="shared" si="21"/>
        <v>E</v>
      </c>
      <c r="AI39" s="1">
        <f t="shared" si="33"/>
        <v>312</v>
      </c>
      <c r="AJ39" s="14">
        <f t="shared" si="23"/>
        <v>37418</v>
      </c>
      <c r="AK39" s="3">
        <f t="shared" si="24"/>
        <v>0.8541666666666666</v>
      </c>
      <c r="AL39" s="1" t="str">
        <f t="shared" si="25"/>
        <v>Germany</v>
      </c>
      <c r="AM39" s="2">
        <f t="shared" si="26"/>
      </c>
      <c r="AN39" s="1" t="str">
        <f t="shared" si="27"/>
        <v>Cameroon</v>
      </c>
      <c r="AO39" s="2">
        <f t="shared" si="28"/>
      </c>
      <c r="AP39" s="1" t="str">
        <f t="shared" si="29"/>
        <v>E</v>
      </c>
    </row>
    <row r="40" spans="1:42" ht="11.25" thickBot="1">
      <c r="A40" s="37">
        <v>37419</v>
      </c>
      <c r="B40" s="8">
        <v>0.6458333333333334</v>
      </c>
      <c r="C40" s="9" t="s">
        <v>25</v>
      </c>
      <c r="D40" s="9"/>
      <c r="E40" s="10"/>
      <c r="F40" s="11"/>
      <c r="G40" s="12"/>
      <c r="H40" s="13" t="s">
        <v>19</v>
      </c>
      <c r="I40" s="40" t="s">
        <v>104</v>
      </c>
      <c r="J40" s="12" t="s">
        <v>8</v>
      </c>
      <c r="L40" s="1" t="str">
        <f t="shared" si="0"/>
        <v>Nigeria</v>
      </c>
      <c r="M40" s="2">
        <f t="shared" si="1"/>
        <v>0</v>
      </c>
      <c r="N40" s="2">
        <f t="shared" si="2"/>
        <v>0</v>
      </c>
      <c r="O40" s="2">
        <f t="shared" si="3"/>
        <v>0</v>
      </c>
      <c r="P40" s="2">
        <f t="shared" si="4"/>
        <v>0</v>
      </c>
      <c r="Q40" s="2">
        <f t="shared" si="5"/>
        <v>0</v>
      </c>
      <c r="R40" s="2">
        <f t="shared" si="6"/>
        <v>0</v>
      </c>
      <c r="S40" s="1" t="str">
        <f t="shared" si="7"/>
        <v>England</v>
      </c>
      <c r="T40" s="2">
        <f t="shared" si="8"/>
        <v>0</v>
      </c>
      <c r="U40" s="2">
        <f t="shared" si="9"/>
        <v>0</v>
      </c>
      <c r="V40" s="2">
        <f t="shared" si="10"/>
        <v>0</v>
      </c>
      <c r="W40" s="2">
        <f t="shared" si="11"/>
        <v>0</v>
      </c>
      <c r="X40" s="2">
        <f t="shared" si="12"/>
        <v>0</v>
      </c>
      <c r="Y40" s="2">
        <f t="shared" si="13"/>
        <v>0</v>
      </c>
      <c r="AA40" s="1">
        <f t="shared" si="32"/>
        <v>317</v>
      </c>
      <c r="AB40" s="14">
        <f t="shared" si="15"/>
        <v>37419</v>
      </c>
      <c r="AC40" s="3">
        <f t="shared" si="16"/>
        <v>0.6458333333333334</v>
      </c>
      <c r="AD40" s="1" t="str">
        <f t="shared" si="17"/>
        <v>Nigeria</v>
      </c>
      <c r="AE40" s="2">
        <f t="shared" si="18"/>
      </c>
      <c r="AF40" s="1" t="str">
        <f t="shared" si="19"/>
        <v>England</v>
      </c>
      <c r="AG40" s="2">
        <f t="shared" si="20"/>
      </c>
      <c r="AH40" s="1" t="str">
        <f t="shared" si="21"/>
        <v>F</v>
      </c>
      <c r="AI40" s="1">
        <f t="shared" si="33"/>
        <v>310</v>
      </c>
      <c r="AJ40" s="14">
        <f t="shared" si="23"/>
        <v>37419</v>
      </c>
      <c r="AK40" s="3">
        <f t="shared" si="24"/>
        <v>0.6458333333333334</v>
      </c>
      <c r="AL40" s="1" t="str">
        <f t="shared" si="25"/>
        <v>England</v>
      </c>
      <c r="AM40" s="2">
        <f t="shared" si="26"/>
      </c>
      <c r="AN40" s="1" t="str">
        <f t="shared" si="27"/>
        <v>Nigeria</v>
      </c>
      <c r="AO40" s="2">
        <f t="shared" si="28"/>
      </c>
      <c r="AP40" s="1" t="str">
        <f t="shared" si="29"/>
        <v>F</v>
      </c>
    </row>
    <row r="41" spans="1:42" ht="11.25" thickBot="1">
      <c r="A41" s="37">
        <v>37419</v>
      </c>
      <c r="B41" s="8">
        <v>0.6458333333333334</v>
      </c>
      <c r="C41" s="9" t="s">
        <v>20</v>
      </c>
      <c r="D41" s="9"/>
      <c r="E41" s="10"/>
      <c r="F41" s="11"/>
      <c r="G41" s="12"/>
      <c r="H41" s="13" t="s">
        <v>24</v>
      </c>
      <c r="I41" s="40" t="s">
        <v>101</v>
      </c>
      <c r="J41" s="12" t="s">
        <v>8</v>
      </c>
      <c r="L41" s="1" t="str">
        <f t="shared" si="0"/>
        <v>Sweden</v>
      </c>
      <c r="M41" s="2">
        <f t="shared" si="1"/>
        <v>0</v>
      </c>
      <c r="N41" s="2">
        <f t="shared" si="2"/>
        <v>0</v>
      </c>
      <c r="O41" s="2">
        <f t="shared" si="3"/>
        <v>0</v>
      </c>
      <c r="P41" s="2">
        <f t="shared" si="4"/>
        <v>0</v>
      </c>
      <c r="Q41" s="2">
        <f t="shared" si="5"/>
        <v>0</v>
      </c>
      <c r="R41" s="2">
        <f t="shared" si="6"/>
        <v>0</v>
      </c>
      <c r="S41" s="1" t="str">
        <f t="shared" si="7"/>
        <v>Argentina</v>
      </c>
      <c r="T41" s="2">
        <f t="shared" si="8"/>
        <v>0</v>
      </c>
      <c r="U41" s="2">
        <f t="shared" si="9"/>
        <v>0</v>
      </c>
      <c r="V41" s="2">
        <f t="shared" si="10"/>
        <v>0</v>
      </c>
      <c r="W41" s="2">
        <f t="shared" si="11"/>
        <v>0</v>
      </c>
      <c r="X41" s="2">
        <f t="shared" si="12"/>
        <v>0</v>
      </c>
      <c r="Y41" s="2">
        <f t="shared" si="13"/>
        <v>0</v>
      </c>
      <c r="AA41" s="1">
        <f t="shared" si="32"/>
        <v>328</v>
      </c>
      <c r="AB41" s="14">
        <f t="shared" si="15"/>
        <v>37419</v>
      </c>
      <c r="AC41" s="3">
        <f t="shared" si="16"/>
        <v>0.6458333333333334</v>
      </c>
      <c r="AD41" s="1" t="str">
        <f t="shared" si="17"/>
        <v>Sweden</v>
      </c>
      <c r="AE41" s="2">
        <f t="shared" si="18"/>
      </c>
      <c r="AF41" s="1" t="str">
        <f t="shared" si="19"/>
        <v>Argentina</v>
      </c>
      <c r="AG41" s="2">
        <f t="shared" si="20"/>
      </c>
      <c r="AH41" s="1" t="str">
        <f t="shared" si="21"/>
        <v>F</v>
      </c>
      <c r="AI41" s="1">
        <f t="shared" si="33"/>
        <v>301</v>
      </c>
      <c r="AJ41" s="14">
        <f t="shared" si="23"/>
        <v>37419</v>
      </c>
      <c r="AK41" s="3">
        <f t="shared" si="24"/>
        <v>0.6458333333333334</v>
      </c>
      <c r="AL41" s="1" t="str">
        <f t="shared" si="25"/>
        <v>Argentina</v>
      </c>
      <c r="AM41" s="2">
        <f t="shared" si="26"/>
      </c>
      <c r="AN41" s="1" t="str">
        <f t="shared" si="27"/>
        <v>Sweden</v>
      </c>
      <c r="AO41" s="2">
        <f t="shared" si="28"/>
      </c>
      <c r="AP41" s="1" t="str">
        <f t="shared" si="29"/>
        <v>F</v>
      </c>
    </row>
    <row r="42" spans="1:42" ht="11.25" thickBot="1">
      <c r="A42" s="37">
        <v>37419</v>
      </c>
      <c r="B42" s="8">
        <v>0.8541666666666666</v>
      </c>
      <c r="C42" s="9" t="s">
        <v>27</v>
      </c>
      <c r="D42" s="9"/>
      <c r="E42" s="10"/>
      <c r="F42" s="11"/>
      <c r="G42" s="12"/>
      <c r="H42" s="13" t="s">
        <v>21</v>
      </c>
      <c r="I42" s="40" t="s">
        <v>89</v>
      </c>
      <c r="J42" s="12" t="s">
        <v>23</v>
      </c>
      <c r="L42" s="1" t="str">
        <f t="shared" si="0"/>
        <v>Slovenia</v>
      </c>
      <c r="M42" s="2">
        <f t="shared" si="1"/>
        <v>0</v>
      </c>
      <c r="N42" s="2">
        <f t="shared" si="2"/>
        <v>0</v>
      </c>
      <c r="O42" s="2">
        <f t="shared" si="3"/>
        <v>0</v>
      </c>
      <c r="P42" s="2">
        <f t="shared" si="4"/>
        <v>0</v>
      </c>
      <c r="Q42" s="2">
        <f t="shared" si="5"/>
        <v>0</v>
      </c>
      <c r="R42" s="2">
        <f t="shared" si="6"/>
        <v>0</v>
      </c>
      <c r="S42" s="1" t="str">
        <f t="shared" si="7"/>
        <v>Paraguay</v>
      </c>
      <c r="T42" s="2">
        <f t="shared" si="8"/>
        <v>0</v>
      </c>
      <c r="U42" s="2">
        <f t="shared" si="9"/>
        <v>0</v>
      </c>
      <c r="V42" s="2">
        <f t="shared" si="10"/>
        <v>0</v>
      </c>
      <c r="W42" s="2">
        <f t="shared" si="11"/>
        <v>0</v>
      </c>
      <c r="X42" s="2">
        <f t="shared" si="12"/>
        <v>0</v>
      </c>
      <c r="Y42" s="2">
        <f t="shared" si="13"/>
        <v>0</v>
      </c>
      <c r="AA42" s="1">
        <f t="shared" si="32"/>
        <v>324</v>
      </c>
      <c r="AB42" s="14">
        <f t="shared" si="15"/>
        <v>37419</v>
      </c>
      <c r="AC42" s="3">
        <f t="shared" si="16"/>
        <v>0.8541666666666666</v>
      </c>
      <c r="AD42" s="1" t="str">
        <f t="shared" si="17"/>
        <v>Slovenia</v>
      </c>
      <c r="AE42" s="2">
        <f t="shared" si="18"/>
      </c>
      <c r="AF42" s="1" t="str">
        <f t="shared" si="19"/>
        <v>Paraguay</v>
      </c>
      <c r="AG42" s="2">
        <f t="shared" si="20"/>
      </c>
      <c r="AH42" s="1" t="str">
        <f t="shared" si="21"/>
        <v>B</v>
      </c>
      <c r="AI42" s="1">
        <f t="shared" si="33"/>
        <v>318</v>
      </c>
      <c r="AJ42" s="14">
        <f t="shared" si="23"/>
        <v>37419</v>
      </c>
      <c r="AK42" s="3">
        <f t="shared" si="24"/>
        <v>0.8541666666666666</v>
      </c>
      <c r="AL42" s="1" t="str">
        <f t="shared" si="25"/>
        <v>Paraguay</v>
      </c>
      <c r="AM42" s="2">
        <f t="shared" si="26"/>
      </c>
      <c r="AN42" s="1" t="str">
        <f t="shared" si="27"/>
        <v>Slovenia</v>
      </c>
      <c r="AO42" s="2">
        <f t="shared" si="28"/>
      </c>
      <c r="AP42" s="1" t="str">
        <f t="shared" si="29"/>
        <v>B</v>
      </c>
    </row>
    <row r="43" spans="1:42" ht="11.25" thickBot="1">
      <c r="A43" s="37">
        <v>37419</v>
      </c>
      <c r="B43" s="8">
        <v>0.8541666666666666</v>
      </c>
      <c r="C43" s="9" t="s">
        <v>22</v>
      </c>
      <c r="D43" s="9"/>
      <c r="E43" s="10"/>
      <c r="F43" s="11"/>
      <c r="G43" s="12"/>
      <c r="H43" s="13" t="s">
        <v>26</v>
      </c>
      <c r="I43" s="40" t="s">
        <v>93</v>
      </c>
      <c r="J43" s="12" t="s">
        <v>23</v>
      </c>
      <c r="L43" s="1" t="str">
        <f t="shared" si="0"/>
        <v>South Africa</v>
      </c>
      <c r="M43" s="2">
        <f t="shared" si="1"/>
        <v>0</v>
      </c>
      <c r="N43" s="2">
        <f t="shared" si="2"/>
        <v>0</v>
      </c>
      <c r="O43" s="2">
        <f t="shared" si="3"/>
        <v>0</v>
      </c>
      <c r="P43" s="2">
        <f t="shared" si="4"/>
        <v>0</v>
      </c>
      <c r="Q43" s="2">
        <f t="shared" si="5"/>
        <v>0</v>
      </c>
      <c r="R43" s="2">
        <f t="shared" si="6"/>
        <v>0</v>
      </c>
      <c r="S43" s="1" t="str">
        <f t="shared" si="7"/>
        <v>Spain</v>
      </c>
      <c r="T43" s="2">
        <f t="shared" si="8"/>
        <v>0</v>
      </c>
      <c r="U43" s="2">
        <f t="shared" si="9"/>
        <v>0</v>
      </c>
      <c r="V43" s="2">
        <f t="shared" si="10"/>
        <v>0</v>
      </c>
      <c r="W43" s="2">
        <f t="shared" si="11"/>
        <v>0</v>
      </c>
      <c r="X43" s="2">
        <f t="shared" si="12"/>
        <v>0</v>
      </c>
      <c r="Y43" s="2">
        <f t="shared" si="13"/>
        <v>0</v>
      </c>
      <c r="AA43" s="1">
        <f t="shared" si="32"/>
        <v>325</v>
      </c>
      <c r="AB43" s="14">
        <f t="shared" si="15"/>
        <v>37419</v>
      </c>
      <c r="AC43" s="3">
        <f t="shared" si="16"/>
        <v>0.8541666666666666</v>
      </c>
      <c r="AD43" s="1" t="str">
        <f t="shared" si="17"/>
        <v>South Africa</v>
      </c>
      <c r="AE43" s="2">
        <f t="shared" si="18"/>
      </c>
      <c r="AF43" s="1" t="str">
        <f t="shared" si="19"/>
        <v>Spain</v>
      </c>
      <c r="AG43" s="2">
        <f t="shared" si="20"/>
      </c>
      <c r="AH43" s="1" t="str">
        <f t="shared" si="21"/>
        <v>B</v>
      </c>
      <c r="AI43" s="1">
        <f t="shared" si="33"/>
        <v>327</v>
      </c>
      <c r="AJ43" s="14">
        <f t="shared" si="23"/>
        <v>37419</v>
      </c>
      <c r="AK43" s="3">
        <f t="shared" si="24"/>
        <v>0.8541666666666666</v>
      </c>
      <c r="AL43" s="1" t="str">
        <f t="shared" si="25"/>
        <v>Spain</v>
      </c>
      <c r="AM43" s="2">
        <f t="shared" si="26"/>
      </c>
      <c r="AN43" s="1" t="str">
        <f t="shared" si="27"/>
        <v>South Africa</v>
      </c>
      <c r="AO43" s="2">
        <f t="shared" si="28"/>
      </c>
      <c r="AP43" s="1" t="str">
        <f t="shared" si="29"/>
        <v>B</v>
      </c>
    </row>
    <row r="44" spans="1:42" ht="11.25" thickBot="1">
      <c r="A44" s="37">
        <v>37420</v>
      </c>
      <c r="B44" s="8">
        <v>0.6458333333333334</v>
      </c>
      <c r="C44" s="9" t="s">
        <v>32</v>
      </c>
      <c r="D44" s="9"/>
      <c r="E44" s="10"/>
      <c r="F44" s="11"/>
      <c r="G44" s="12"/>
      <c r="H44" s="13" t="s">
        <v>36</v>
      </c>
      <c r="I44" s="40" t="s">
        <v>105</v>
      </c>
      <c r="J44" s="12" t="s">
        <v>33</v>
      </c>
      <c r="L44" s="1" t="str">
        <f t="shared" si="0"/>
        <v>Turkey</v>
      </c>
      <c r="M44" s="2">
        <f t="shared" si="1"/>
        <v>0</v>
      </c>
      <c r="N44" s="2">
        <f t="shared" si="2"/>
        <v>0</v>
      </c>
      <c r="O44" s="2">
        <f t="shared" si="3"/>
        <v>0</v>
      </c>
      <c r="P44" s="2">
        <f t="shared" si="4"/>
        <v>0</v>
      </c>
      <c r="Q44" s="2">
        <f t="shared" si="5"/>
        <v>0</v>
      </c>
      <c r="R44" s="2">
        <f t="shared" si="6"/>
        <v>0</v>
      </c>
      <c r="S44" s="1" t="str">
        <f t="shared" si="7"/>
        <v>China</v>
      </c>
      <c r="T44" s="2">
        <f t="shared" si="8"/>
        <v>0</v>
      </c>
      <c r="U44" s="2">
        <f t="shared" si="9"/>
        <v>0</v>
      </c>
      <c r="V44" s="2">
        <f t="shared" si="10"/>
        <v>0</v>
      </c>
      <c r="W44" s="2">
        <f t="shared" si="11"/>
        <v>0</v>
      </c>
      <c r="X44" s="2">
        <f t="shared" si="12"/>
        <v>0</v>
      </c>
      <c r="Y44" s="2">
        <f t="shared" si="13"/>
        <v>0</v>
      </c>
      <c r="AA44" s="1">
        <f t="shared" si="32"/>
        <v>330</v>
      </c>
      <c r="AB44" s="14">
        <f t="shared" si="15"/>
        <v>37420</v>
      </c>
      <c r="AC44" s="3">
        <f t="shared" si="16"/>
        <v>0.6458333333333334</v>
      </c>
      <c r="AD44" s="1" t="str">
        <f t="shared" si="17"/>
        <v>Turkey</v>
      </c>
      <c r="AE44" s="2">
        <f t="shared" si="18"/>
      </c>
      <c r="AF44" s="1" t="str">
        <f t="shared" si="19"/>
        <v>China</v>
      </c>
      <c r="AG44" s="2">
        <f t="shared" si="20"/>
      </c>
      <c r="AH44" s="1" t="str">
        <f t="shared" si="21"/>
        <v>C</v>
      </c>
      <c r="AI44" s="1">
        <f t="shared" si="33"/>
        <v>305</v>
      </c>
      <c r="AJ44" s="14">
        <f t="shared" si="23"/>
        <v>37420</v>
      </c>
      <c r="AK44" s="3">
        <f t="shared" si="24"/>
        <v>0.6458333333333334</v>
      </c>
      <c r="AL44" s="1" t="str">
        <f t="shared" si="25"/>
        <v>China</v>
      </c>
      <c r="AM44" s="2">
        <f t="shared" si="26"/>
      </c>
      <c r="AN44" s="1" t="str">
        <f t="shared" si="27"/>
        <v>Turkey</v>
      </c>
      <c r="AO44" s="2">
        <f t="shared" si="28"/>
      </c>
      <c r="AP44" s="1" t="str">
        <f t="shared" si="29"/>
        <v>C</v>
      </c>
    </row>
    <row r="45" spans="1:42" ht="11.25" thickBot="1">
      <c r="A45" s="37">
        <v>37420</v>
      </c>
      <c r="B45" s="8">
        <v>0.6458333333333334</v>
      </c>
      <c r="C45" s="9" t="s">
        <v>37</v>
      </c>
      <c r="D45" s="9"/>
      <c r="E45" s="10"/>
      <c r="F45" s="11"/>
      <c r="G45" s="12"/>
      <c r="H45" s="13" t="s">
        <v>31</v>
      </c>
      <c r="I45" s="40" t="s">
        <v>102</v>
      </c>
      <c r="J45" s="12" t="s">
        <v>33</v>
      </c>
      <c r="L45" s="1" t="str">
        <f t="shared" si="0"/>
        <v>Costa Rica</v>
      </c>
      <c r="M45" s="2">
        <f t="shared" si="1"/>
        <v>0</v>
      </c>
      <c r="N45" s="2">
        <f t="shared" si="2"/>
        <v>0</v>
      </c>
      <c r="O45" s="2">
        <f t="shared" si="3"/>
        <v>0</v>
      </c>
      <c r="P45" s="2">
        <f t="shared" si="4"/>
        <v>0</v>
      </c>
      <c r="Q45" s="2">
        <f t="shared" si="5"/>
        <v>0</v>
      </c>
      <c r="R45" s="2">
        <f t="shared" si="6"/>
        <v>0</v>
      </c>
      <c r="S45" s="1" t="str">
        <f t="shared" si="7"/>
        <v>Brazil</v>
      </c>
      <c r="T45" s="2">
        <f t="shared" si="8"/>
        <v>0</v>
      </c>
      <c r="U45" s="2">
        <f t="shared" si="9"/>
        <v>0</v>
      </c>
      <c r="V45" s="2">
        <f t="shared" si="10"/>
        <v>0</v>
      </c>
      <c r="W45" s="2">
        <f t="shared" si="11"/>
        <v>0</v>
      </c>
      <c r="X45" s="2">
        <f t="shared" si="12"/>
        <v>0</v>
      </c>
      <c r="Y45" s="2">
        <f t="shared" si="13"/>
        <v>0</v>
      </c>
      <c r="AA45" s="1">
        <f t="shared" si="32"/>
        <v>306</v>
      </c>
      <c r="AB45" s="14">
        <f t="shared" si="15"/>
        <v>37420</v>
      </c>
      <c r="AC45" s="3">
        <f t="shared" si="16"/>
        <v>0.6458333333333334</v>
      </c>
      <c r="AD45" s="1" t="str">
        <f t="shared" si="17"/>
        <v>Costa Rica</v>
      </c>
      <c r="AE45" s="2">
        <f t="shared" si="18"/>
      </c>
      <c r="AF45" s="1" t="str">
        <f t="shared" si="19"/>
        <v>Brazil</v>
      </c>
      <c r="AG45" s="2">
        <f t="shared" si="20"/>
      </c>
      <c r="AH45" s="1" t="str">
        <f t="shared" si="21"/>
        <v>C</v>
      </c>
      <c r="AI45" s="1">
        <f t="shared" si="33"/>
        <v>303</v>
      </c>
      <c r="AJ45" s="14">
        <f t="shared" si="23"/>
        <v>37420</v>
      </c>
      <c r="AK45" s="3">
        <f t="shared" si="24"/>
        <v>0.6458333333333334</v>
      </c>
      <c r="AL45" s="1" t="str">
        <f t="shared" si="25"/>
        <v>Brazil</v>
      </c>
      <c r="AM45" s="2">
        <f t="shared" si="26"/>
      </c>
      <c r="AN45" s="1" t="str">
        <f t="shared" si="27"/>
        <v>Costa Rica</v>
      </c>
      <c r="AO45" s="2">
        <f t="shared" si="28"/>
      </c>
      <c r="AP45" s="1" t="str">
        <f t="shared" si="29"/>
        <v>C</v>
      </c>
    </row>
    <row r="46" spans="1:42" ht="11.25" thickBot="1">
      <c r="A46" s="37">
        <v>37420</v>
      </c>
      <c r="B46" s="8">
        <v>0.8541666666666666</v>
      </c>
      <c r="C46" s="9" t="s">
        <v>35</v>
      </c>
      <c r="D46" s="9"/>
      <c r="E46" s="10"/>
      <c r="F46" s="11"/>
      <c r="G46" s="12"/>
      <c r="H46" s="13" t="s">
        <v>28</v>
      </c>
      <c r="I46" s="40" t="s">
        <v>90</v>
      </c>
      <c r="J46" s="12" t="s">
        <v>30</v>
      </c>
      <c r="L46" s="1" t="str">
        <f t="shared" si="0"/>
        <v>Ecuador</v>
      </c>
      <c r="M46" s="2">
        <f t="shared" si="1"/>
        <v>0</v>
      </c>
      <c r="N46" s="2">
        <f t="shared" si="2"/>
        <v>0</v>
      </c>
      <c r="O46" s="2">
        <f t="shared" si="3"/>
        <v>0</v>
      </c>
      <c r="P46" s="2">
        <f t="shared" si="4"/>
        <v>0</v>
      </c>
      <c r="Q46" s="2">
        <f t="shared" si="5"/>
        <v>0</v>
      </c>
      <c r="R46" s="2">
        <f t="shared" si="6"/>
        <v>0</v>
      </c>
      <c r="S46" s="1" t="str">
        <f t="shared" si="7"/>
        <v>Croatia</v>
      </c>
      <c r="T46" s="2">
        <f t="shared" si="8"/>
        <v>0</v>
      </c>
      <c r="U46" s="2">
        <f t="shared" si="9"/>
        <v>0</v>
      </c>
      <c r="V46" s="2">
        <f t="shared" si="10"/>
        <v>0</v>
      </c>
      <c r="W46" s="2">
        <f t="shared" si="11"/>
        <v>0</v>
      </c>
      <c r="X46" s="2">
        <f t="shared" si="12"/>
        <v>0</v>
      </c>
      <c r="Y46" s="2">
        <f t="shared" si="13"/>
        <v>0</v>
      </c>
      <c r="AA46" s="1">
        <f t="shared" si="32"/>
        <v>309</v>
      </c>
      <c r="AB46" s="14">
        <f t="shared" si="15"/>
        <v>37420</v>
      </c>
      <c r="AC46" s="3">
        <f t="shared" si="16"/>
        <v>0.8541666666666666</v>
      </c>
      <c r="AD46" s="1" t="str">
        <f t="shared" si="17"/>
        <v>Ecuador</v>
      </c>
      <c r="AE46" s="2">
        <f t="shared" si="18"/>
      </c>
      <c r="AF46" s="1" t="str">
        <f t="shared" si="19"/>
        <v>Croatia</v>
      </c>
      <c r="AG46" s="2">
        <f t="shared" si="20"/>
      </c>
      <c r="AH46" s="1" t="str">
        <f t="shared" si="21"/>
        <v>G</v>
      </c>
      <c r="AI46" s="1">
        <f t="shared" si="33"/>
        <v>307</v>
      </c>
      <c r="AJ46" s="14">
        <f t="shared" si="23"/>
        <v>37420</v>
      </c>
      <c r="AK46" s="3">
        <f t="shared" si="24"/>
        <v>0.8541666666666666</v>
      </c>
      <c r="AL46" s="1" t="str">
        <f t="shared" si="25"/>
        <v>Croatia</v>
      </c>
      <c r="AM46" s="2">
        <f t="shared" si="26"/>
      </c>
      <c r="AN46" s="1" t="str">
        <f t="shared" si="27"/>
        <v>Ecuador</v>
      </c>
      <c r="AO46" s="2">
        <f t="shared" si="28"/>
      </c>
      <c r="AP46" s="1" t="str">
        <f t="shared" si="29"/>
        <v>G</v>
      </c>
    </row>
    <row r="47" spans="1:42" ht="11.25" thickBot="1">
      <c r="A47" s="37">
        <v>37420</v>
      </c>
      <c r="B47" s="8">
        <v>0.8541666666666666</v>
      </c>
      <c r="C47" s="9" t="s">
        <v>29</v>
      </c>
      <c r="D47" s="9"/>
      <c r="E47" s="10"/>
      <c r="F47" s="11"/>
      <c r="G47" s="12"/>
      <c r="H47" s="13" t="s">
        <v>34</v>
      </c>
      <c r="I47" s="40" t="s">
        <v>94</v>
      </c>
      <c r="J47" s="12" t="s">
        <v>30</v>
      </c>
      <c r="L47" s="1" t="str">
        <f t="shared" si="0"/>
        <v>Mexico</v>
      </c>
      <c r="M47" s="2">
        <f t="shared" si="1"/>
        <v>0</v>
      </c>
      <c r="N47" s="2">
        <f t="shared" si="2"/>
        <v>0</v>
      </c>
      <c r="O47" s="2">
        <f t="shared" si="3"/>
        <v>0</v>
      </c>
      <c r="P47" s="2">
        <f t="shared" si="4"/>
        <v>0</v>
      </c>
      <c r="Q47" s="2">
        <f t="shared" si="5"/>
        <v>0</v>
      </c>
      <c r="R47" s="2">
        <f t="shared" si="6"/>
        <v>0</v>
      </c>
      <c r="S47" s="1" t="str">
        <f t="shared" si="7"/>
        <v>Italy</v>
      </c>
      <c r="T47" s="2">
        <f t="shared" si="8"/>
        <v>0</v>
      </c>
      <c r="U47" s="2">
        <f t="shared" si="9"/>
        <v>0</v>
      </c>
      <c r="V47" s="2">
        <f t="shared" si="10"/>
        <v>0</v>
      </c>
      <c r="W47" s="2">
        <f t="shared" si="11"/>
        <v>0</v>
      </c>
      <c r="X47" s="2">
        <f t="shared" si="12"/>
        <v>0</v>
      </c>
      <c r="Y47" s="2">
        <f t="shared" si="13"/>
        <v>0</v>
      </c>
      <c r="AA47" s="1">
        <f t="shared" si="32"/>
        <v>316</v>
      </c>
      <c r="AB47" s="14">
        <f t="shared" si="15"/>
        <v>37420</v>
      </c>
      <c r="AC47" s="3">
        <f t="shared" si="16"/>
        <v>0.8541666666666666</v>
      </c>
      <c r="AD47" s="1" t="str">
        <f t="shared" si="17"/>
        <v>Mexico</v>
      </c>
      <c r="AE47" s="2">
        <f t="shared" si="18"/>
      </c>
      <c r="AF47" s="1" t="str">
        <f t="shared" si="19"/>
        <v>Italy</v>
      </c>
      <c r="AG47" s="2">
        <f t="shared" si="20"/>
      </c>
      <c r="AH47" s="1" t="str">
        <f t="shared" si="21"/>
        <v>G</v>
      </c>
      <c r="AI47" s="1">
        <f t="shared" si="33"/>
        <v>314</v>
      </c>
      <c r="AJ47" s="14">
        <f t="shared" si="23"/>
        <v>37420</v>
      </c>
      <c r="AK47" s="3">
        <f t="shared" si="24"/>
        <v>0.8541666666666666</v>
      </c>
      <c r="AL47" s="1" t="str">
        <f t="shared" si="25"/>
        <v>Italy</v>
      </c>
      <c r="AM47" s="2">
        <f t="shared" si="26"/>
      </c>
      <c r="AN47" s="1" t="str">
        <f t="shared" si="27"/>
        <v>Mexico</v>
      </c>
      <c r="AO47" s="2">
        <f t="shared" si="28"/>
      </c>
      <c r="AP47" s="1" t="str">
        <f t="shared" si="29"/>
        <v>G</v>
      </c>
    </row>
    <row r="48" spans="1:42" ht="11.25" thickBot="1">
      <c r="A48" s="37">
        <v>37421</v>
      </c>
      <c r="B48" s="8">
        <v>0.6458333333333334</v>
      </c>
      <c r="C48" s="9" t="s">
        <v>39</v>
      </c>
      <c r="D48" s="9"/>
      <c r="E48" s="10"/>
      <c r="F48" s="11"/>
      <c r="G48" s="12"/>
      <c r="H48" s="13" t="s">
        <v>43</v>
      </c>
      <c r="I48" s="40" t="s">
        <v>106</v>
      </c>
      <c r="J48" s="12" t="s">
        <v>40</v>
      </c>
      <c r="L48" s="1" t="str">
        <f t="shared" si="0"/>
        <v>Belgium</v>
      </c>
      <c r="M48" s="2">
        <f t="shared" si="1"/>
        <v>0</v>
      </c>
      <c r="N48" s="2">
        <f t="shared" si="2"/>
        <v>0</v>
      </c>
      <c r="O48" s="2">
        <f t="shared" si="3"/>
        <v>0</v>
      </c>
      <c r="P48" s="2">
        <f t="shared" si="4"/>
        <v>0</v>
      </c>
      <c r="Q48" s="2">
        <f t="shared" si="5"/>
        <v>0</v>
      </c>
      <c r="R48" s="2">
        <f t="shared" si="6"/>
        <v>0</v>
      </c>
      <c r="S48" s="1" t="str">
        <f t="shared" si="7"/>
        <v>Russia</v>
      </c>
      <c r="T48" s="2">
        <f t="shared" si="8"/>
        <v>0</v>
      </c>
      <c r="U48" s="2">
        <f t="shared" si="9"/>
        <v>0</v>
      </c>
      <c r="V48" s="2">
        <f t="shared" si="10"/>
        <v>0</v>
      </c>
      <c r="W48" s="2">
        <f t="shared" si="11"/>
        <v>0</v>
      </c>
      <c r="X48" s="2">
        <f t="shared" si="12"/>
        <v>0</v>
      </c>
      <c r="Y48" s="2">
        <f t="shared" si="13"/>
        <v>0</v>
      </c>
      <c r="AA48" s="1">
        <f t="shared" si="32"/>
        <v>302</v>
      </c>
      <c r="AB48" s="14">
        <f t="shared" si="15"/>
        <v>37421</v>
      </c>
      <c r="AC48" s="3">
        <f t="shared" si="16"/>
        <v>0.6458333333333334</v>
      </c>
      <c r="AD48" s="1" t="str">
        <f t="shared" si="17"/>
        <v>Belgium</v>
      </c>
      <c r="AE48" s="2">
        <f t="shared" si="18"/>
      </c>
      <c r="AF48" s="1" t="str">
        <f t="shared" si="19"/>
        <v>Russia</v>
      </c>
      <c r="AG48" s="2">
        <f t="shared" si="20"/>
      </c>
      <c r="AH48" s="1" t="str">
        <f t="shared" si="21"/>
        <v>H</v>
      </c>
      <c r="AI48" s="1">
        <f t="shared" si="33"/>
        <v>321</v>
      </c>
      <c r="AJ48" s="14">
        <f t="shared" si="23"/>
        <v>37421</v>
      </c>
      <c r="AK48" s="3">
        <f t="shared" si="24"/>
        <v>0.6458333333333334</v>
      </c>
      <c r="AL48" s="1" t="str">
        <f t="shared" si="25"/>
        <v>Russia</v>
      </c>
      <c r="AM48" s="2">
        <f t="shared" si="26"/>
      </c>
      <c r="AN48" s="1" t="str">
        <f t="shared" si="27"/>
        <v>Belgium</v>
      </c>
      <c r="AO48" s="2">
        <f t="shared" si="28"/>
      </c>
      <c r="AP48" s="1" t="str">
        <f t="shared" si="29"/>
        <v>H</v>
      </c>
    </row>
    <row r="49" spans="1:42" ht="11.25" thickBot="1">
      <c r="A49" s="37">
        <v>37421</v>
      </c>
      <c r="B49" s="8">
        <v>0.6458333333333334</v>
      </c>
      <c r="C49" s="9" t="s">
        <v>44</v>
      </c>
      <c r="D49" s="9"/>
      <c r="E49" s="10"/>
      <c r="F49" s="11"/>
      <c r="G49" s="12"/>
      <c r="H49" s="13" t="s">
        <v>38</v>
      </c>
      <c r="I49" s="40" t="s">
        <v>104</v>
      </c>
      <c r="J49" s="12" t="s">
        <v>40</v>
      </c>
      <c r="L49" s="1" t="str">
        <f t="shared" si="0"/>
        <v>Tunisia</v>
      </c>
      <c r="M49" s="2">
        <f t="shared" si="1"/>
        <v>0</v>
      </c>
      <c r="N49" s="2">
        <f t="shared" si="2"/>
        <v>0</v>
      </c>
      <c r="O49" s="2">
        <f t="shared" si="3"/>
        <v>0</v>
      </c>
      <c r="P49" s="2">
        <f t="shared" si="4"/>
        <v>0</v>
      </c>
      <c r="Q49" s="2">
        <f t="shared" si="5"/>
        <v>0</v>
      </c>
      <c r="R49" s="2">
        <f t="shared" si="6"/>
        <v>0</v>
      </c>
      <c r="S49" s="1" t="str">
        <f t="shared" si="7"/>
        <v>Japan</v>
      </c>
      <c r="T49" s="2">
        <f t="shared" si="8"/>
        <v>0</v>
      </c>
      <c r="U49" s="2">
        <f t="shared" si="9"/>
        <v>0</v>
      </c>
      <c r="V49" s="2">
        <f t="shared" si="10"/>
        <v>0</v>
      </c>
      <c r="W49" s="2">
        <f t="shared" si="11"/>
        <v>0</v>
      </c>
      <c r="X49" s="2">
        <f t="shared" si="12"/>
        <v>0</v>
      </c>
      <c r="Y49" s="2">
        <f t="shared" si="13"/>
        <v>0</v>
      </c>
      <c r="AA49" s="1">
        <f t="shared" si="32"/>
        <v>329</v>
      </c>
      <c r="AB49" s="14">
        <f t="shared" si="15"/>
        <v>37421</v>
      </c>
      <c r="AC49" s="3">
        <f t="shared" si="16"/>
        <v>0.6458333333333334</v>
      </c>
      <c r="AD49" s="1" t="str">
        <f t="shared" si="17"/>
        <v>Tunisia</v>
      </c>
      <c r="AE49" s="2">
        <f t="shared" si="18"/>
      </c>
      <c r="AF49" s="1" t="str">
        <f t="shared" si="19"/>
        <v>Japan</v>
      </c>
      <c r="AG49" s="2">
        <f t="shared" si="20"/>
      </c>
      <c r="AH49" s="1" t="str">
        <f t="shared" si="21"/>
        <v>H</v>
      </c>
      <c r="AI49" s="1">
        <f t="shared" si="33"/>
        <v>315</v>
      </c>
      <c r="AJ49" s="14">
        <f t="shared" si="23"/>
        <v>37421</v>
      </c>
      <c r="AK49" s="3">
        <f t="shared" si="24"/>
        <v>0.6458333333333334</v>
      </c>
      <c r="AL49" s="1" t="str">
        <f t="shared" si="25"/>
        <v>Japan</v>
      </c>
      <c r="AM49" s="2">
        <f t="shared" si="26"/>
      </c>
      <c r="AN49" s="1" t="str">
        <f t="shared" si="27"/>
        <v>Tunisia</v>
      </c>
      <c r="AO49" s="2">
        <f t="shared" si="28"/>
      </c>
      <c r="AP49" s="1" t="str">
        <f t="shared" si="29"/>
        <v>H</v>
      </c>
    </row>
    <row r="50" spans="1:42" ht="11.25" thickBot="1">
      <c r="A50" s="37">
        <v>37421</v>
      </c>
      <c r="B50" s="8">
        <v>0.8541666666666666</v>
      </c>
      <c r="C50" s="9" t="s">
        <v>42</v>
      </c>
      <c r="D50" s="9"/>
      <c r="E50" s="10"/>
      <c r="F50" s="11"/>
      <c r="G50" s="12"/>
      <c r="H50" s="13" t="s">
        <v>45</v>
      </c>
      <c r="I50" s="40" t="s">
        <v>93</v>
      </c>
      <c r="J50" s="12" t="s">
        <v>6</v>
      </c>
      <c r="L50" s="1" t="str">
        <f t="shared" si="0"/>
        <v>Poland</v>
      </c>
      <c r="M50" s="2">
        <f t="shared" si="1"/>
        <v>0</v>
      </c>
      <c r="N50" s="2">
        <f t="shared" si="2"/>
        <v>0</v>
      </c>
      <c r="O50" s="2">
        <f t="shared" si="3"/>
        <v>0</v>
      </c>
      <c r="P50" s="2">
        <f t="shared" si="4"/>
        <v>0</v>
      </c>
      <c r="Q50" s="2">
        <f t="shared" si="5"/>
        <v>0</v>
      </c>
      <c r="R50" s="2">
        <f t="shared" si="6"/>
        <v>0</v>
      </c>
      <c r="S50" s="1" t="str">
        <f t="shared" si="7"/>
        <v>USA</v>
      </c>
      <c r="T50" s="2">
        <f t="shared" si="8"/>
        <v>0</v>
      </c>
      <c r="U50" s="2">
        <f t="shared" si="9"/>
        <v>0</v>
      </c>
      <c r="V50" s="2">
        <f t="shared" si="10"/>
        <v>0</v>
      </c>
      <c r="W50" s="2">
        <f t="shared" si="11"/>
        <v>0</v>
      </c>
      <c r="X50" s="2">
        <f t="shared" si="12"/>
        <v>0</v>
      </c>
      <c r="Y50" s="2">
        <f t="shared" si="13"/>
        <v>0</v>
      </c>
      <c r="AA50" s="1">
        <f t="shared" si="32"/>
        <v>319</v>
      </c>
      <c r="AB50" s="14">
        <f t="shared" si="15"/>
        <v>37421</v>
      </c>
      <c r="AC50" s="3">
        <f t="shared" si="16"/>
        <v>0.8541666666666666</v>
      </c>
      <c r="AD50" s="1" t="str">
        <f t="shared" si="17"/>
        <v>Poland</v>
      </c>
      <c r="AE50" s="2">
        <f t="shared" si="18"/>
      </c>
      <c r="AF50" s="1" t="str">
        <f t="shared" si="19"/>
        <v>USA</v>
      </c>
      <c r="AG50" s="2">
        <f t="shared" si="20"/>
      </c>
      <c r="AH50" s="1" t="str">
        <f t="shared" si="21"/>
        <v>D</v>
      </c>
      <c r="AI50" s="1">
        <f t="shared" si="33"/>
        <v>332</v>
      </c>
      <c r="AJ50" s="14">
        <f t="shared" si="23"/>
        <v>37421</v>
      </c>
      <c r="AK50" s="3">
        <f t="shared" si="24"/>
        <v>0.8541666666666666</v>
      </c>
      <c r="AL50" s="1" t="str">
        <f t="shared" si="25"/>
        <v>USA</v>
      </c>
      <c r="AM50" s="2">
        <f t="shared" si="26"/>
      </c>
      <c r="AN50" s="1" t="str">
        <f t="shared" si="27"/>
        <v>Poland</v>
      </c>
      <c r="AO50" s="2">
        <f t="shared" si="28"/>
      </c>
      <c r="AP50" s="1" t="str">
        <f t="shared" si="29"/>
        <v>D</v>
      </c>
    </row>
    <row r="51" spans="1:42" ht="11.25" thickBot="1">
      <c r="A51" s="37">
        <v>37421</v>
      </c>
      <c r="B51" s="8">
        <v>0.8541666666666666</v>
      </c>
      <c r="C51" s="9" t="s">
        <v>46</v>
      </c>
      <c r="D51" s="9"/>
      <c r="E51" s="10"/>
      <c r="F51" s="11"/>
      <c r="G51" s="12"/>
      <c r="H51" s="13" t="s">
        <v>41</v>
      </c>
      <c r="I51" s="40" t="s">
        <v>95</v>
      </c>
      <c r="J51" s="12" t="s">
        <v>6</v>
      </c>
      <c r="L51" s="1" t="str">
        <f t="shared" si="0"/>
        <v>Portugal</v>
      </c>
      <c r="M51" s="2">
        <f t="shared" si="1"/>
        <v>0</v>
      </c>
      <c r="N51" s="2">
        <f t="shared" si="2"/>
        <v>0</v>
      </c>
      <c r="O51" s="2">
        <f t="shared" si="3"/>
        <v>0</v>
      </c>
      <c r="P51" s="2">
        <f t="shared" si="4"/>
        <v>0</v>
      </c>
      <c r="Q51" s="2">
        <f t="shared" si="5"/>
        <v>0</v>
      </c>
      <c r="R51" s="2">
        <f t="shared" si="6"/>
        <v>0</v>
      </c>
      <c r="S51" s="1" t="str">
        <f t="shared" si="7"/>
        <v>South Korea</v>
      </c>
      <c r="T51" s="2">
        <f t="shared" si="8"/>
        <v>0</v>
      </c>
      <c r="U51" s="2">
        <f t="shared" si="9"/>
        <v>0</v>
      </c>
      <c r="V51" s="2">
        <f t="shared" si="10"/>
        <v>0</v>
      </c>
      <c r="W51" s="2">
        <f t="shared" si="11"/>
        <v>0</v>
      </c>
      <c r="X51" s="2">
        <f t="shared" si="12"/>
        <v>0</v>
      </c>
      <c r="Y51" s="2">
        <f t="shared" si="13"/>
        <v>0</v>
      </c>
      <c r="AA51" s="1">
        <f t="shared" si="32"/>
        <v>320</v>
      </c>
      <c r="AB51" s="14">
        <f t="shared" si="15"/>
        <v>37421</v>
      </c>
      <c r="AC51" s="3">
        <f t="shared" si="16"/>
        <v>0.8541666666666666</v>
      </c>
      <c r="AD51" s="1" t="str">
        <f t="shared" si="17"/>
        <v>Portugal</v>
      </c>
      <c r="AE51" s="2">
        <f t="shared" si="18"/>
      </c>
      <c r="AF51" s="1" t="str">
        <f t="shared" si="19"/>
        <v>South Korea</v>
      </c>
      <c r="AG51" s="2">
        <f t="shared" si="20"/>
      </c>
      <c r="AH51" s="1" t="str">
        <f t="shared" si="21"/>
        <v>D</v>
      </c>
      <c r="AI51" s="1">
        <f t="shared" si="33"/>
        <v>326</v>
      </c>
      <c r="AJ51" s="14">
        <f t="shared" si="23"/>
        <v>37421</v>
      </c>
      <c r="AK51" s="3">
        <f t="shared" si="24"/>
        <v>0.8541666666666666</v>
      </c>
      <c r="AL51" s="1" t="str">
        <f t="shared" si="25"/>
        <v>South Korea</v>
      </c>
      <c r="AM51" s="2">
        <f t="shared" si="26"/>
      </c>
      <c r="AN51" s="1" t="str">
        <f t="shared" si="27"/>
        <v>Portugal</v>
      </c>
      <c r="AO51" s="2">
        <f t="shared" si="28"/>
      </c>
      <c r="AP51" s="1" t="str">
        <f t="shared" si="29"/>
        <v>D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J56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0.71875" style="22" customWidth="1"/>
    <col min="2" max="2" width="9.8515625" style="22" customWidth="1"/>
    <col min="3" max="10" width="4.7109375" style="27" customWidth="1"/>
    <col min="11" max="16384" width="9.140625" style="22" customWidth="1"/>
  </cols>
  <sheetData>
    <row r="2" spans="2:10" s="16" customFormat="1" ht="12.75" customHeight="1">
      <c r="B2" s="17" t="s">
        <v>47</v>
      </c>
      <c r="C2" s="18"/>
      <c r="D2" s="18"/>
      <c r="E2" s="18"/>
      <c r="F2" s="18"/>
      <c r="G2" s="18"/>
      <c r="H2" s="18"/>
      <c r="I2" s="18"/>
      <c r="J2" s="19"/>
    </row>
    <row r="3" spans="2:10" s="20" customFormat="1" ht="9.75">
      <c r="B3" s="21"/>
      <c r="C3" s="41" t="s">
        <v>121</v>
      </c>
      <c r="D3" s="41" t="s">
        <v>122</v>
      </c>
      <c r="E3" s="41" t="s">
        <v>123</v>
      </c>
      <c r="F3" s="41" t="s">
        <v>124</v>
      </c>
      <c r="G3" s="41" t="s">
        <v>118</v>
      </c>
      <c r="H3" s="41" t="s">
        <v>119</v>
      </c>
      <c r="I3" s="41" t="s">
        <v>120</v>
      </c>
      <c r="J3" s="46" t="s">
        <v>125</v>
      </c>
    </row>
    <row r="4" spans="2:10" ht="11.25">
      <c r="B4" s="23" t="str">
        <f>" "&amp;VLOOKUP(1,GroupA,2,FALSE)</f>
        <v> Denmark</v>
      </c>
      <c r="C4" s="42">
        <f>VLOOKUP(1,GroupA,3,FALSE)</f>
        <v>2</v>
      </c>
      <c r="D4" s="42">
        <f>VLOOKUP(1,GroupA,4,FALSE)</f>
        <v>1</v>
      </c>
      <c r="E4" s="42">
        <f>VLOOKUP(1,GroupA,5,FALSE)</f>
        <v>1</v>
      </c>
      <c r="F4" s="42">
        <f>VLOOKUP(1,GroupA,6,FALSE)</f>
        <v>0</v>
      </c>
      <c r="G4" s="42">
        <f>VLOOKUP(1,GroupA,7,FALSE)</f>
        <v>3</v>
      </c>
      <c r="H4" s="42">
        <f>VLOOKUP(1,GroupA,8,FALSE)</f>
        <v>2</v>
      </c>
      <c r="I4" s="42">
        <f>VLOOKUP(1,GroupA,9,FALSE)</f>
        <v>1</v>
      </c>
      <c r="J4" s="43">
        <f>VLOOKUP(1,GroupA,10,FALSE)</f>
        <v>4</v>
      </c>
    </row>
    <row r="5" spans="2:10" ht="11.25">
      <c r="B5" s="23" t="str">
        <f>" "&amp;VLOOKUP(2,GroupA,2,FALSE)</f>
        <v> Senegal</v>
      </c>
      <c r="C5" s="42">
        <f>VLOOKUP(2,GroupA,3,FALSE)</f>
        <v>2</v>
      </c>
      <c r="D5" s="42">
        <f>VLOOKUP(2,GroupA,4,FALSE)</f>
        <v>1</v>
      </c>
      <c r="E5" s="42">
        <f>VLOOKUP(2,GroupA,5,FALSE)</f>
        <v>1</v>
      </c>
      <c r="F5" s="42">
        <f>VLOOKUP(2,GroupA,6,FALSE)</f>
        <v>0</v>
      </c>
      <c r="G5" s="42">
        <f>VLOOKUP(2,GroupA,7,FALSE)</f>
        <v>2</v>
      </c>
      <c r="H5" s="42">
        <f>VLOOKUP(2,GroupA,8,FALSE)</f>
        <v>1</v>
      </c>
      <c r="I5" s="42">
        <f>VLOOKUP(2,GroupA,9,FALSE)</f>
        <v>1</v>
      </c>
      <c r="J5" s="43">
        <f>VLOOKUP(2,GroupA,10,FALSE)</f>
        <v>4</v>
      </c>
    </row>
    <row r="6" spans="2:10" ht="11.25">
      <c r="B6" s="23" t="str">
        <f>" "&amp;VLOOKUP(3,GroupA,2,FALSE)</f>
        <v> Uruguay</v>
      </c>
      <c r="C6" s="42">
        <f>VLOOKUP(3,GroupA,3,FALSE)</f>
        <v>2</v>
      </c>
      <c r="D6" s="42">
        <f>VLOOKUP(3,GroupA,4,FALSE)</f>
        <v>0</v>
      </c>
      <c r="E6" s="42">
        <f>VLOOKUP(3,GroupA,5,FALSE)</f>
        <v>1</v>
      </c>
      <c r="F6" s="42">
        <f>VLOOKUP(3,GroupA,6,FALSE)</f>
        <v>1</v>
      </c>
      <c r="G6" s="42">
        <f>VLOOKUP(3,GroupA,7,FALSE)</f>
        <v>1</v>
      </c>
      <c r="H6" s="42">
        <f>VLOOKUP(3,GroupA,8,FALSE)</f>
        <v>2</v>
      </c>
      <c r="I6" s="42">
        <f>VLOOKUP(3,GroupA,9,FALSE)</f>
        <v>-1</v>
      </c>
      <c r="J6" s="43">
        <f>VLOOKUP(3,GroupA,10,FALSE)</f>
        <v>1</v>
      </c>
    </row>
    <row r="7" spans="2:10" ht="11.25">
      <c r="B7" s="25" t="str">
        <f>" "&amp;VLOOKUP(4,GroupA,2,FALSE)</f>
        <v> France</v>
      </c>
      <c r="C7" s="44">
        <f>VLOOKUP(4,GroupA,3,FALSE)</f>
        <v>2</v>
      </c>
      <c r="D7" s="44">
        <f>VLOOKUP(4,GroupA,4,FALSE)</f>
        <v>0</v>
      </c>
      <c r="E7" s="44">
        <f>VLOOKUP(4,GroupA,5,FALSE)</f>
        <v>1</v>
      </c>
      <c r="F7" s="44">
        <f>VLOOKUP(4,GroupA,6,FALSE)</f>
        <v>1</v>
      </c>
      <c r="G7" s="44">
        <f>VLOOKUP(4,GroupA,7,FALSE)</f>
        <v>0</v>
      </c>
      <c r="H7" s="44">
        <f>VLOOKUP(4,GroupA,8,FALSE)</f>
        <v>1</v>
      </c>
      <c r="I7" s="44">
        <f>VLOOKUP(4,GroupA,9,FALSE)</f>
        <v>-1</v>
      </c>
      <c r="J7" s="45">
        <f>VLOOKUP(4,GroupA,10,FALSE)</f>
        <v>1</v>
      </c>
    </row>
    <row r="9" spans="2:10" s="16" customFormat="1" ht="12.75" customHeight="1">
      <c r="B9" s="17" t="s">
        <v>50</v>
      </c>
      <c r="C9" s="18"/>
      <c r="D9" s="18"/>
      <c r="E9" s="18"/>
      <c r="F9" s="18"/>
      <c r="G9" s="18"/>
      <c r="H9" s="18"/>
      <c r="I9" s="18"/>
      <c r="J9" s="19"/>
    </row>
    <row r="10" spans="2:10" s="20" customFormat="1" ht="9.75">
      <c r="B10" s="21"/>
      <c r="C10" s="41" t="s">
        <v>121</v>
      </c>
      <c r="D10" s="41" t="s">
        <v>122</v>
      </c>
      <c r="E10" s="41" t="s">
        <v>123</v>
      </c>
      <c r="F10" s="41" t="s">
        <v>124</v>
      </c>
      <c r="G10" s="41" t="s">
        <v>118</v>
      </c>
      <c r="H10" s="41" t="s">
        <v>119</v>
      </c>
      <c r="I10" s="41" t="s">
        <v>120</v>
      </c>
      <c r="J10" s="46" t="s">
        <v>125</v>
      </c>
    </row>
    <row r="11" spans="2:10" ht="11.25">
      <c r="B11" s="23" t="str">
        <f>" "&amp;VLOOKUP(1,GroupB,2,FALSE)</f>
        <v> Spain</v>
      </c>
      <c r="C11" s="42">
        <f>VLOOKUP(1,GroupB,3,FALSE)</f>
        <v>2</v>
      </c>
      <c r="D11" s="42">
        <f>VLOOKUP(1,GroupB,4,FALSE)</f>
        <v>2</v>
      </c>
      <c r="E11" s="42">
        <f>VLOOKUP(1,GroupB,5,FALSE)</f>
        <v>0</v>
      </c>
      <c r="F11" s="42">
        <f>VLOOKUP(1,GroupB,6,FALSE)</f>
        <v>0</v>
      </c>
      <c r="G11" s="42">
        <f>VLOOKUP(1,GroupB,7,FALSE)</f>
        <v>6</v>
      </c>
      <c r="H11" s="42">
        <f>VLOOKUP(1,GroupB,8,FALSE)</f>
        <v>2</v>
      </c>
      <c r="I11" s="42">
        <f>VLOOKUP(1,GroupB,9,FALSE)</f>
        <v>4</v>
      </c>
      <c r="J11" s="43">
        <f>VLOOKUP(1,GroupB,10,FALSE)</f>
        <v>6</v>
      </c>
    </row>
    <row r="12" spans="2:10" ht="11.25">
      <c r="B12" s="23" t="str">
        <f>" "&amp;VLOOKUP(2,GroupB,2,FALSE)</f>
        <v> South Africa</v>
      </c>
      <c r="C12" s="42">
        <f>VLOOKUP(2,GroupB,3,FALSE)</f>
        <v>2</v>
      </c>
      <c r="D12" s="42">
        <f>VLOOKUP(2,GroupB,4,FALSE)</f>
        <v>1</v>
      </c>
      <c r="E12" s="42">
        <f>VLOOKUP(2,GroupB,5,FALSE)</f>
        <v>1</v>
      </c>
      <c r="F12" s="42">
        <f>VLOOKUP(2,GroupB,6,FALSE)</f>
        <v>0</v>
      </c>
      <c r="G12" s="42">
        <f>VLOOKUP(2,GroupB,7,FALSE)</f>
        <v>3</v>
      </c>
      <c r="H12" s="42">
        <f>VLOOKUP(2,GroupB,8,FALSE)</f>
        <v>2</v>
      </c>
      <c r="I12" s="42">
        <f>VLOOKUP(2,GroupB,9,FALSE)</f>
        <v>1</v>
      </c>
      <c r="J12" s="43">
        <f>VLOOKUP(2,GroupB,10,FALSE)</f>
        <v>4</v>
      </c>
    </row>
    <row r="13" spans="2:10" ht="11.25">
      <c r="B13" s="23" t="str">
        <f>" "&amp;VLOOKUP(3,GroupB,2,FALSE)</f>
        <v> Paraguay</v>
      </c>
      <c r="C13" s="42">
        <f>VLOOKUP(3,GroupB,3,FALSE)</f>
        <v>2</v>
      </c>
      <c r="D13" s="42">
        <f>VLOOKUP(3,GroupB,4,FALSE)</f>
        <v>0</v>
      </c>
      <c r="E13" s="42">
        <f>VLOOKUP(3,GroupB,5,FALSE)</f>
        <v>1</v>
      </c>
      <c r="F13" s="42">
        <f>VLOOKUP(3,GroupB,6,FALSE)</f>
        <v>1</v>
      </c>
      <c r="G13" s="42">
        <f>VLOOKUP(3,GroupB,7,FALSE)</f>
        <v>3</v>
      </c>
      <c r="H13" s="42">
        <f>VLOOKUP(3,GroupB,8,FALSE)</f>
        <v>5</v>
      </c>
      <c r="I13" s="42">
        <f>VLOOKUP(3,GroupB,9,FALSE)</f>
        <v>-2</v>
      </c>
      <c r="J13" s="43">
        <f>VLOOKUP(3,GroupB,10,FALSE)</f>
        <v>1</v>
      </c>
    </row>
    <row r="14" spans="2:10" ht="11.25">
      <c r="B14" s="25" t="str">
        <f>" "&amp;VLOOKUP(4,GroupB,2,FALSE)</f>
        <v> Slovenia</v>
      </c>
      <c r="C14" s="44">
        <f>VLOOKUP(4,GroupB,3,FALSE)</f>
        <v>2</v>
      </c>
      <c r="D14" s="44">
        <f>VLOOKUP(4,GroupB,4,FALSE)</f>
        <v>0</v>
      </c>
      <c r="E14" s="44">
        <f>VLOOKUP(4,GroupB,5,FALSE)</f>
        <v>0</v>
      </c>
      <c r="F14" s="44">
        <f>VLOOKUP(4,GroupB,6,FALSE)</f>
        <v>2</v>
      </c>
      <c r="G14" s="44">
        <f>VLOOKUP(4,GroupB,7,FALSE)</f>
        <v>1</v>
      </c>
      <c r="H14" s="44">
        <f>VLOOKUP(4,GroupB,8,FALSE)</f>
        <v>4</v>
      </c>
      <c r="I14" s="44">
        <f>VLOOKUP(4,GroupB,9,FALSE)</f>
        <v>-3</v>
      </c>
      <c r="J14" s="45">
        <f>VLOOKUP(4,GroupB,10,FALSE)</f>
        <v>0</v>
      </c>
    </row>
    <row r="16" spans="2:10" s="16" customFormat="1" ht="12.75" customHeight="1">
      <c r="B16" s="17" t="s">
        <v>51</v>
      </c>
      <c r="C16" s="18"/>
      <c r="D16" s="18"/>
      <c r="E16" s="18"/>
      <c r="F16" s="18"/>
      <c r="G16" s="18"/>
      <c r="H16" s="18"/>
      <c r="I16" s="18"/>
      <c r="J16" s="19"/>
    </row>
    <row r="17" spans="2:10" s="20" customFormat="1" ht="9.75">
      <c r="B17" s="21"/>
      <c r="C17" s="41" t="s">
        <v>121</v>
      </c>
      <c r="D17" s="41" t="s">
        <v>122</v>
      </c>
      <c r="E17" s="41" t="s">
        <v>123</v>
      </c>
      <c r="F17" s="41" t="s">
        <v>124</v>
      </c>
      <c r="G17" s="41" t="s">
        <v>118</v>
      </c>
      <c r="H17" s="41" t="s">
        <v>119</v>
      </c>
      <c r="I17" s="41" t="s">
        <v>120</v>
      </c>
      <c r="J17" s="46" t="s">
        <v>125</v>
      </c>
    </row>
    <row r="18" spans="2:10" ht="11.25">
      <c r="B18" s="23" t="str">
        <f>" "&amp;VLOOKUP(1,GroupC,2,FALSE)</f>
        <v> Brazil</v>
      </c>
      <c r="C18" s="42">
        <f>VLOOKUP(1,GroupC,3,FALSE)</f>
        <v>2</v>
      </c>
      <c r="D18" s="42">
        <f>VLOOKUP(1,GroupC,4,FALSE)</f>
        <v>2</v>
      </c>
      <c r="E18" s="42">
        <f>VLOOKUP(1,GroupC,5,FALSE)</f>
        <v>0</v>
      </c>
      <c r="F18" s="42">
        <f>VLOOKUP(1,GroupC,6,FALSE)</f>
        <v>0</v>
      </c>
      <c r="G18" s="42">
        <f>VLOOKUP(1,GroupC,7,FALSE)</f>
        <v>6</v>
      </c>
      <c r="H18" s="42">
        <f>VLOOKUP(1,GroupC,8,FALSE)</f>
        <v>1</v>
      </c>
      <c r="I18" s="42">
        <f>VLOOKUP(1,GroupC,9,FALSE)</f>
        <v>5</v>
      </c>
      <c r="J18" s="43">
        <f>VLOOKUP(1,GroupC,10,FALSE)</f>
        <v>6</v>
      </c>
    </row>
    <row r="19" spans="2:10" ht="11.25">
      <c r="B19" s="23" t="str">
        <f>" "&amp;VLOOKUP(2,GroupC,2,FALSE)</f>
        <v> Costa Rica</v>
      </c>
      <c r="C19" s="42">
        <f>VLOOKUP(2,GroupC,3,FALSE)</f>
        <v>1</v>
      </c>
      <c r="D19" s="42">
        <f>VLOOKUP(2,GroupC,4,FALSE)</f>
        <v>1</v>
      </c>
      <c r="E19" s="42">
        <f>VLOOKUP(2,GroupC,5,FALSE)</f>
        <v>0</v>
      </c>
      <c r="F19" s="42">
        <f>VLOOKUP(2,GroupC,6,FALSE)</f>
        <v>0</v>
      </c>
      <c r="G19" s="42">
        <f>VLOOKUP(2,GroupC,7,FALSE)</f>
        <v>2</v>
      </c>
      <c r="H19" s="42">
        <f>VLOOKUP(2,GroupC,8,FALSE)</f>
        <v>0</v>
      </c>
      <c r="I19" s="42">
        <f>VLOOKUP(2,GroupC,9,FALSE)</f>
        <v>2</v>
      </c>
      <c r="J19" s="43">
        <f>VLOOKUP(2,GroupC,10,FALSE)</f>
        <v>3</v>
      </c>
    </row>
    <row r="20" spans="2:10" ht="11.25">
      <c r="B20" s="23" t="str">
        <f>" "&amp;VLOOKUP(3,GroupC,2,FALSE)</f>
        <v> Turkey</v>
      </c>
      <c r="C20" s="42">
        <f>VLOOKUP(3,GroupC,3,FALSE)</f>
        <v>1</v>
      </c>
      <c r="D20" s="42">
        <f>VLOOKUP(3,GroupC,4,FALSE)</f>
        <v>0</v>
      </c>
      <c r="E20" s="42">
        <f>VLOOKUP(3,GroupC,5,FALSE)</f>
        <v>0</v>
      </c>
      <c r="F20" s="42">
        <f>VLOOKUP(3,GroupC,6,FALSE)</f>
        <v>1</v>
      </c>
      <c r="G20" s="42">
        <f>VLOOKUP(3,GroupC,7,FALSE)</f>
        <v>1</v>
      </c>
      <c r="H20" s="42">
        <f>VLOOKUP(3,GroupC,8,FALSE)</f>
        <v>2</v>
      </c>
      <c r="I20" s="42">
        <f>VLOOKUP(3,GroupC,9,FALSE)</f>
        <v>-1</v>
      </c>
      <c r="J20" s="43">
        <f>VLOOKUP(3,GroupC,10,FALSE)</f>
        <v>0</v>
      </c>
    </row>
    <row r="21" spans="2:10" ht="11.25">
      <c r="B21" s="25" t="str">
        <f>" "&amp;VLOOKUP(4,GroupC,2,FALSE)</f>
        <v> China</v>
      </c>
      <c r="C21" s="44">
        <f>VLOOKUP(4,GroupC,3,FALSE)</f>
        <v>2</v>
      </c>
      <c r="D21" s="44">
        <f>VLOOKUP(4,GroupC,4,FALSE)</f>
        <v>0</v>
      </c>
      <c r="E21" s="44">
        <f>VLOOKUP(4,GroupC,5,FALSE)</f>
        <v>0</v>
      </c>
      <c r="F21" s="44">
        <f>VLOOKUP(4,GroupC,6,FALSE)</f>
        <v>2</v>
      </c>
      <c r="G21" s="44">
        <f>VLOOKUP(4,GroupC,7,FALSE)</f>
        <v>0</v>
      </c>
      <c r="H21" s="44">
        <f>VLOOKUP(4,GroupC,8,FALSE)</f>
        <v>6</v>
      </c>
      <c r="I21" s="44">
        <f>VLOOKUP(4,GroupC,9,FALSE)</f>
        <v>-6</v>
      </c>
      <c r="J21" s="45">
        <f>VLOOKUP(4,GroupC,10,FALSE)</f>
        <v>0</v>
      </c>
    </row>
    <row r="23" spans="2:10" s="16" customFormat="1" ht="12.75" customHeight="1">
      <c r="B23" s="17" t="s">
        <v>52</v>
      </c>
      <c r="C23" s="18"/>
      <c r="D23" s="18"/>
      <c r="E23" s="18"/>
      <c r="F23" s="18"/>
      <c r="G23" s="18"/>
      <c r="H23" s="18"/>
      <c r="I23" s="18"/>
      <c r="J23" s="19"/>
    </row>
    <row r="24" spans="2:10" s="20" customFormat="1" ht="9.75">
      <c r="B24" s="21"/>
      <c r="C24" s="41" t="s">
        <v>121</v>
      </c>
      <c r="D24" s="41" t="s">
        <v>122</v>
      </c>
      <c r="E24" s="41" t="s">
        <v>123</v>
      </c>
      <c r="F24" s="41" t="s">
        <v>124</v>
      </c>
      <c r="G24" s="41" t="s">
        <v>118</v>
      </c>
      <c r="H24" s="41" t="s">
        <v>119</v>
      </c>
      <c r="I24" s="41" t="s">
        <v>120</v>
      </c>
      <c r="J24" s="46" t="s">
        <v>125</v>
      </c>
    </row>
    <row r="25" spans="2:10" ht="11.25">
      <c r="B25" s="23" t="str">
        <f>" "&amp;VLOOKUP(1,GroupD,2,FALSE)</f>
        <v> South Korea</v>
      </c>
      <c r="C25" s="42">
        <f>VLOOKUP(1,GroupD,3,FALSE)</f>
        <v>1</v>
      </c>
      <c r="D25" s="42">
        <f>VLOOKUP(1,GroupD,4,FALSE)</f>
        <v>1</v>
      </c>
      <c r="E25" s="42">
        <f>VLOOKUP(1,GroupD,5,FALSE)</f>
        <v>0</v>
      </c>
      <c r="F25" s="42">
        <f>VLOOKUP(1,GroupD,6,FALSE)</f>
        <v>0</v>
      </c>
      <c r="G25" s="42">
        <f>VLOOKUP(1,GroupD,7,FALSE)</f>
        <v>2</v>
      </c>
      <c r="H25" s="42">
        <f>VLOOKUP(1,GroupD,8,FALSE)</f>
        <v>0</v>
      </c>
      <c r="I25" s="42">
        <f>VLOOKUP(1,GroupD,9,FALSE)</f>
        <v>2</v>
      </c>
      <c r="J25" s="43">
        <f>VLOOKUP(1,GroupD,10,FALSE)</f>
        <v>3</v>
      </c>
    </row>
    <row r="26" spans="2:10" ht="11.25">
      <c r="B26" s="23" t="str">
        <f>" "&amp;VLOOKUP(2,GroupD,2,FALSE)</f>
        <v> USA</v>
      </c>
      <c r="C26" s="42">
        <f>VLOOKUP(2,GroupD,3,FALSE)</f>
        <v>1</v>
      </c>
      <c r="D26" s="42">
        <f>VLOOKUP(2,GroupD,4,FALSE)</f>
        <v>1</v>
      </c>
      <c r="E26" s="42">
        <f>VLOOKUP(2,GroupD,5,FALSE)</f>
        <v>0</v>
      </c>
      <c r="F26" s="42">
        <f>VLOOKUP(2,GroupD,6,FALSE)</f>
        <v>0</v>
      </c>
      <c r="G26" s="42">
        <f>VLOOKUP(2,GroupD,7,FALSE)</f>
        <v>3</v>
      </c>
      <c r="H26" s="42">
        <f>VLOOKUP(2,GroupD,8,FALSE)</f>
        <v>2</v>
      </c>
      <c r="I26" s="42">
        <f>VLOOKUP(2,GroupD,9,FALSE)</f>
        <v>1</v>
      </c>
      <c r="J26" s="43">
        <f>VLOOKUP(2,GroupD,10,FALSE)</f>
        <v>3</v>
      </c>
    </row>
    <row r="27" spans="2:10" ht="11.25">
      <c r="B27" s="23" t="str">
        <f>" "&amp;VLOOKUP(3,GroupD,2,FALSE)</f>
        <v> Portugal</v>
      </c>
      <c r="C27" s="42">
        <f>VLOOKUP(3,GroupD,3,FALSE)</f>
        <v>1</v>
      </c>
      <c r="D27" s="42">
        <f>VLOOKUP(3,GroupD,4,FALSE)</f>
        <v>0</v>
      </c>
      <c r="E27" s="42">
        <f>VLOOKUP(3,GroupD,5,FALSE)</f>
        <v>0</v>
      </c>
      <c r="F27" s="42">
        <f>VLOOKUP(3,GroupD,6,FALSE)</f>
        <v>1</v>
      </c>
      <c r="G27" s="42">
        <f>VLOOKUP(3,GroupD,7,FALSE)</f>
        <v>2</v>
      </c>
      <c r="H27" s="42">
        <f>VLOOKUP(3,GroupD,8,FALSE)</f>
        <v>3</v>
      </c>
      <c r="I27" s="42">
        <f>VLOOKUP(3,GroupD,9,FALSE)</f>
        <v>-1</v>
      </c>
      <c r="J27" s="43">
        <f>VLOOKUP(3,GroupD,10,FALSE)</f>
        <v>0</v>
      </c>
    </row>
    <row r="28" spans="2:10" ht="11.25">
      <c r="B28" s="25" t="str">
        <f>" "&amp;VLOOKUP(4,GroupD,2,FALSE)</f>
        <v> Poland</v>
      </c>
      <c r="C28" s="44">
        <f>VLOOKUP(4,GroupD,3,FALSE)</f>
        <v>1</v>
      </c>
      <c r="D28" s="44">
        <f>VLOOKUP(4,GroupD,4,FALSE)</f>
        <v>0</v>
      </c>
      <c r="E28" s="44">
        <f>VLOOKUP(4,GroupD,5,FALSE)</f>
        <v>0</v>
      </c>
      <c r="F28" s="44">
        <f>VLOOKUP(4,GroupD,6,FALSE)</f>
        <v>1</v>
      </c>
      <c r="G28" s="44">
        <f>VLOOKUP(4,GroupD,7,FALSE)</f>
        <v>0</v>
      </c>
      <c r="H28" s="44">
        <f>VLOOKUP(4,GroupD,8,FALSE)</f>
        <v>2</v>
      </c>
      <c r="I28" s="44">
        <f>VLOOKUP(4,GroupD,9,FALSE)</f>
        <v>-2</v>
      </c>
      <c r="J28" s="45">
        <f>VLOOKUP(4,GroupD,10,FALSE)</f>
        <v>0</v>
      </c>
    </row>
    <row r="30" spans="2:10" s="16" customFormat="1" ht="12.75" customHeight="1">
      <c r="B30" s="17" t="s">
        <v>53</v>
      </c>
      <c r="C30" s="18"/>
      <c r="D30" s="18"/>
      <c r="E30" s="18"/>
      <c r="F30" s="18"/>
      <c r="G30" s="18"/>
      <c r="H30" s="18"/>
      <c r="I30" s="18"/>
      <c r="J30" s="19"/>
    </row>
    <row r="31" spans="2:10" s="20" customFormat="1" ht="9.75">
      <c r="B31" s="21"/>
      <c r="C31" s="41" t="s">
        <v>121</v>
      </c>
      <c r="D31" s="41" t="s">
        <v>122</v>
      </c>
      <c r="E31" s="41" t="s">
        <v>123</v>
      </c>
      <c r="F31" s="41" t="s">
        <v>124</v>
      </c>
      <c r="G31" s="41" t="s">
        <v>118</v>
      </c>
      <c r="H31" s="41" t="s">
        <v>119</v>
      </c>
      <c r="I31" s="41" t="s">
        <v>120</v>
      </c>
      <c r="J31" s="46" t="s">
        <v>125</v>
      </c>
    </row>
    <row r="32" spans="2:10" ht="11.25">
      <c r="B32" s="23" t="str">
        <f>" "&amp;VLOOKUP(1,GroupE,2,FALSE)</f>
        <v> Germany</v>
      </c>
      <c r="C32" s="42">
        <f>VLOOKUP(1,GroupE,3,FALSE)</f>
        <v>2</v>
      </c>
      <c r="D32" s="42">
        <f>VLOOKUP(1,GroupE,4,FALSE)</f>
        <v>1</v>
      </c>
      <c r="E32" s="42">
        <f>VLOOKUP(1,GroupE,5,FALSE)</f>
        <v>1</v>
      </c>
      <c r="F32" s="42">
        <f>VLOOKUP(1,GroupE,6,FALSE)</f>
        <v>0</v>
      </c>
      <c r="G32" s="42">
        <f>VLOOKUP(1,GroupE,7,FALSE)</f>
        <v>9</v>
      </c>
      <c r="H32" s="42">
        <f>VLOOKUP(1,GroupE,8,FALSE)</f>
        <v>1</v>
      </c>
      <c r="I32" s="42">
        <f>VLOOKUP(1,GroupE,9,FALSE)</f>
        <v>8</v>
      </c>
      <c r="J32" s="24">
        <f>VLOOKUP(1,GroupE,10,FALSE)</f>
        <v>4</v>
      </c>
    </row>
    <row r="33" spans="2:10" ht="11.25">
      <c r="B33" s="23" t="str">
        <f>" "&amp;VLOOKUP(2,GroupE,2,FALSE)</f>
        <v> Cameroon</v>
      </c>
      <c r="C33" s="42">
        <f>VLOOKUP(2,GroupE,3,FALSE)</f>
        <v>2</v>
      </c>
      <c r="D33" s="42">
        <f>VLOOKUP(2,GroupE,4,FALSE)</f>
        <v>1</v>
      </c>
      <c r="E33" s="42">
        <f>VLOOKUP(2,GroupE,5,FALSE)</f>
        <v>1</v>
      </c>
      <c r="F33" s="42">
        <f>VLOOKUP(2,GroupE,6,FALSE)</f>
        <v>0</v>
      </c>
      <c r="G33" s="42">
        <f>VLOOKUP(2,GroupE,7,FALSE)</f>
        <v>3</v>
      </c>
      <c r="H33" s="42">
        <f>VLOOKUP(2,GroupE,8,FALSE)</f>
        <v>2</v>
      </c>
      <c r="I33" s="42">
        <f>VLOOKUP(2,GroupE,9,FALSE)</f>
        <v>1</v>
      </c>
      <c r="J33" s="24">
        <f>VLOOKUP(2,GroupE,10,FALSE)</f>
        <v>4</v>
      </c>
    </row>
    <row r="34" spans="2:10" ht="11.25">
      <c r="B34" s="23" t="str">
        <f>" "&amp;VLOOKUP(3,GroupE,2,FALSE)</f>
        <v> Ireland</v>
      </c>
      <c r="C34" s="42">
        <f>VLOOKUP(3,GroupE,3,FALSE)</f>
        <v>2</v>
      </c>
      <c r="D34" s="42">
        <f>VLOOKUP(3,GroupE,4,FALSE)</f>
        <v>0</v>
      </c>
      <c r="E34" s="42">
        <f>VLOOKUP(3,GroupE,5,FALSE)</f>
        <v>2</v>
      </c>
      <c r="F34" s="42">
        <f>VLOOKUP(3,GroupE,6,FALSE)</f>
        <v>0</v>
      </c>
      <c r="G34" s="42">
        <f>VLOOKUP(3,GroupE,7,FALSE)</f>
        <v>2</v>
      </c>
      <c r="H34" s="42">
        <f>VLOOKUP(3,GroupE,8,FALSE)</f>
        <v>2</v>
      </c>
      <c r="I34" s="42">
        <f>VLOOKUP(3,GroupE,9,FALSE)</f>
        <v>0</v>
      </c>
      <c r="J34" s="24">
        <f>VLOOKUP(3,GroupE,10,FALSE)</f>
        <v>2</v>
      </c>
    </row>
    <row r="35" spans="2:10" ht="11.25">
      <c r="B35" s="25" t="str">
        <f>" "&amp;VLOOKUP(4,GroupE,2,FALSE)</f>
        <v> Saudi Arabia</v>
      </c>
      <c r="C35" s="44">
        <f>VLOOKUP(4,GroupE,3,FALSE)</f>
        <v>2</v>
      </c>
      <c r="D35" s="44">
        <f>VLOOKUP(4,GroupE,4,FALSE)</f>
        <v>0</v>
      </c>
      <c r="E35" s="44">
        <f>VLOOKUP(4,GroupE,5,FALSE)</f>
        <v>0</v>
      </c>
      <c r="F35" s="44">
        <f>VLOOKUP(4,GroupE,6,FALSE)</f>
        <v>2</v>
      </c>
      <c r="G35" s="44">
        <f>VLOOKUP(4,GroupE,7,FALSE)</f>
        <v>1</v>
      </c>
      <c r="H35" s="44">
        <f>VLOOKUP(4,GroupE,8,FALSE)</f>
        <v>10</v>
      </c>
      <c r="I35" s="44">
        <f>VLOOKUP(4,GroupE,9,FALSE)</f>
        <v>-9</v>
      </c>
      <c r="J35" s="26">
        <f>VLOOKUP(4,GroupE,10,FALSE)</f>
        <v>0</v>
      </c>
    </row>
    <row r="37" spans="2:10" s="16" customFormat="1" ht="12.75" customHeight="1">
      <c r="B37" s="17" t="s">
        <v>54</v>
      </c>
      <c r="C37" s="18"/>
      <c r="D37" s="18"/>
      <c r="E37" s="18"/>
      <c r="F37" s="18"/>
      <c r="G37" s="18"/>
      <c r="H37" s="18"/>
      <c r="I37" s="18"/>
      <c r="J37" s="19"/>
    </row>
    <row r="38" spans="2:10" s="20" customFormat="1" ht="9.75">
      <c r="B38" s="21"/>
      <c r="C38" s="41" t="s">
        <v>121</v>
      </c>
      <c r="D38" s="41" t="s">
        <v>122</v>
      </c>
      <c r="E38" s="41" t="s">
        <v>123</v>
      </c>
      <c r="F38" s="41" t="s">
        <v>124</v>
      </c>
      <c r="G38" s="41" t="s">
        <v>118</v>
      </c>
      <c r="H38" s="41" t="s">
        <v>119</v>
      </c>
      <c r="I38" s="41" t="s">
        <v>120</v>
      </c>
      <c r="J38" s="46" t="s">
        <v>125</v>
      </c>
    </row>
    <row r="39" spans="2:10" ht="11.25">
      <c r="B39" s="23" t="str">
        <f>" "&amp;VLOOKUP(1,GroupF,2,FALSE)</f>
        <v> Sweden</v>
      </c>
      <c r="C39" s="42">
        <f>VLOOKUP(1,GroupF,3,FALSE)</f>
        <v>2</v>
      </c>
      <c r="D39" s="42">
        <f>VLOOKUP(1,GroupF,4,FALSE)</f>
        <v>1</v>
      </c>
      <c r="E39" s="42">
        <f>VLOOKUP(1,GroupF,5,FALSE)</f>
        <v>1</v>
      </c>
      <c r="F39" s="42">
        <f>VLOOKUP(1,GroupF,6,FALSE)</f>
        <v>0</v>
      </c>
      <c r="G39" s="42">
        <f>VLOOKUP(1,GroupF,7,FALSE)</f>
        <v>3</v>
      </c>
      <c r="H39" s="42">
        <f>VLOOKUP(1,GroupF,8,FALSE)</f>
        <v>2</v>
      </c>
      <c r="I39" s="42">
        <f>VLOOKUP(1,GroupF,9,FALSE)</f>
        <v>1</v>
      </c>
      <c r="J39" s="43">
        <f>VLOOKUP(1,GroupF,10,FALSE)</f>
        <v>4</v>
      </c>
    </row>
    <row r="40" spans="2:10" ht="11.25">
      <c r="B40" s="23" t="str">
        <f>" "&amp;VLOOKUP(2,GroupF,2,FALSE)</f>
        <v> England</v>
      </c>
      <c r="C40" s="42">
        <f>VLOOKUP(2,GroupF,3,FALSE)</f>
        <v>2</v>
      </c>
      <c r="D40" s="42">
        <f>VLOOKUP(2,GroupF,4,FALSE)</f>
        <v>1</v>
      </c>
      <c r="E40" s="42">
        <f>VLOOKUP(2,GroupF,5,FALSE)</f>
        <v>1</v>
      </c>
      <c r="F40" s="42">
        <f>VLOOKUP(2,GroupF,6,FALSE)</f>
        <v>0</v>
      </c>
      <c r="G40" s="42">
        <f>VLOOKUP(2,GroupF,7,FALSE)</f>
        <v>2</v>
      </c>
      <c r="H40" s="42">
        <f>VLOOKUP(2,GroupF,8,FALSE)</f>
        <v>1</v>
      </c>
      <c r="I40" s="42">
        <f>VLOOKUP(2,GroupF,9,FALSE)</f>
        <v>1</v>
      </c>
      <c r="J40" s="43">
        <f>VLOOKUP(2,GroupF,10,FALSE)</f>
        <v>4</v>
      </c>
    </row>
    <row r="41" spans="2:10" ht="11.25">
      <c r="B41" s="23" t="str">
        <f>" "&amp;VLOOKUP(3,GroupF,2,FALSE)</f>
        <v> Argentina</v>
      </c>
      <c r="C41" s="42">
        <f>VLOOKUP(3,GroupF,3,FALSE)</f>
        <v>2</v>
      </c>
      <c r="D41" s="42">
        <f>VLOOKUP(3,GroupF,4,FALSE)</f>
        <v>1</v>
      </c>
      <c r="E41" s="42">
        <f>VLOOKUP(3,GroupF,5,FALSE)</f>
        <v>0</v>
      </c>
      <c r="F41" s="42">
        <f>VLOOKUP(3,GroupF,6,FALSE)</f>
        <v>1</v>
      </c>
      <c r="G41" s="42">
        <f>VLOOKUP(3,GroupF,7,FALSE)</f>
        <v>1</v>
      </c>
      <c r="H41" s="42">
        <f>VLOOKUP(3,GroupF,8,FALSE)</f>
        <v>1</v>
      </c>
      <c r="I41" s="42">
        <f>VLOOKUP(3,GroupF,9,FALSE)</f>
        <v>0</v>
      </c>
      <c r="J41" s="43">
        <f>VLOOKUP(3,GroupF,10,FALSE)</f>
        <v>3</v>
      </c>
    </row>
    <row r="42" spans="2:10" ht="11.25">
      <c r="B42" s="25" t="str">
        <f>" "&amp;VLOOKUP(4,GroupF,2,FALSE)</f>
        <v> Nigeria</v>
      </c>
      <c r="C42" s="44">
        <f>VLOOKUP(4,GroupF,3,FALSE)</f>
        <v>2</v>
      </c>
      <c r="D42" s="44">
        <f>VLOOKUP(4,GroupF,4,FALSE)</f>
        <v>0</v>
      </c>
      <c r="E42" s="44">
        <f>VLOOKUP(4,GroupF,5,FALSE)</f>
        <v>0</v>
      </c>
      <c r="F42" s="44">
        <f>VLOOKUP(4,GroupF,6,FALSE)</f>
        <v>2</v>
      </c>
      <c r="G42" s="44">
        <f>VLOOKUP(4,GroupF,7,FALSE)</f>
        <v>1</v>
      </c>
      <c r="H42" s="44">
        <f>VLOOKUP(4,GroupF,8,FALSE)</f>
        <v>3</v>
      </c>
      <c r="I42" s="44">
        <f>VLOOKUP(4,GroupF,9,FALSE)</f>
        <v>-2</v>
      </c>
      <c r="J42" s="45">
        <f>VLOOKUP(4,GroupF,10,FALSE)</f>
        <v>0</v>
      </c>
    </row>
    <row r="44" spans="2:10" s="16" customFormat="1" ht="12.75" customHeight="1">
      <c r="B44" s="17" t="s">
        <v>55</v>
      </c>
      <c r="C44" s="18"/>
      <c r="D44" s="18"/>
      <c r="E44" s="18"/>
      <c r="F44" s="18"/>
      <c r="G44" s="18"/>
      <c r="H44" s="18"/>
      <c r="I44" s="18"/>
      <c r="J44" s="19"/>
    </row>
    <row r="45" spans="2:10" s="20" customFormat="1" ht="9.75">
      <c r="B45" s="21"/>
      <c r="C45" s="41" t="s">
        <v>121</v>
      </c>
      <c r="D45" s="41" t="s">
        <v>122</v>
      </c>
      <c r="E45" s="41" t="s">
        <v>123</v>
      </c>
      <c r="F45" s="41" t="s">
        <v>124</v>
      </c>
      <c r="G45" s="41" t="s">
        <v>118</v>
      </c>
      <c r="H45" s="41" t="s">
        <v>119</v>
      </c>
      <c r="I45" s="41" t="s">
        <v>120</v>
      </c>
      <c r="J45" s="46" t="s">
        <v>125</v>
      </c>
    </row>
    <row r="46" spans="2:10" ht="11.25">
      <c r="B46" s="23" t="str">
        <f>" "&amp;VLOOKUP(1,GroupG,2,FALSE)</f>
        <v> Italy</v>
      </c>
      <c r="C46" s="42">
        <f>VLOOKUP(1,GroupG,3,FALSE)</f>
        <v>2</v>
      </c>
      <c r="D46" s="42">
        <f>VLOOKUP(1,GroupG,4,FALSE)</f>
        <v>1</v>
      </c>
      <c r="E46" s="42">
        <f>VLOOKUP(1,GroupG,5,FALSE)</f>
        <v>0</v>
      </c>
      <c r="F46" s="42">
        <f>VLOOKUP(1,GroupG,6,FALSE)</f>
        <v>1</v>
      </c>
      <c r="G46" s="42">
        <f>VLOOKUP(1,GroupG,7,FALSE)</f>
        <v>3</v>
      </c>
      <c r="H46" s="42">
        <f>VLOOKUP(1,GroupG,8,FALSE)</f>
        <v>2</v>
      </c>
      <c r="I46" s="42">
        <f>VLOOKUP(1,GroupG,9,FALSE)</f>
        <v>1</v>
      </c>
      <c r="J46" s="43">
        <f>VLOOKUP(1,GroupG,10,FALSE)</f>
        <v>3</v>
      </c>
    </row>
    <row r="47" spans="2:10" ht="11.25">
      <c r="B47" s="23" t="str">
        <f>" "&amp;VLOOKUP(2,GroupG,2,FALSE)</f>
        <v> Mexico</v>
      </c>
      <c r="C47" s="42">
        <f>VLOOKUP(2,GroupG,3,FALSE)</f>
        <v>1</v>
      </c>
      <c r="D47" s="42">
        <f>VLOOKUP(2,GroupG,4,FALSE)</f>
        <v>1</v>
      </c>
      <c r="E47" s="42">
        <f>VLOOKUP(2,GroupG,5,FALSE)</f>
        <v>0</v>
      </c>
      <c r="F47" s="42">
        <f>VLOOKUP(2,GroupG,6,FALSE)</f>
        <v>0</v>
      </c>
      <c r="G47" s="42">
        <f>VLOOKUP(2,GroupG,7,FALSE)</f>
        <v>1</v>
      </c>
      <c r="H47" s="42">
        <f>VLOOKUP(2,GroupG,8,FALSE)</f>
        <v>0</v>
      </c>
      <c r="I47" s="42">
        <f>VLOOKUP(2,GroupG,9,FALSE)</f>
        <v>1</v>
      </c>
      <c r="J47" s="43">
        <f>VLOOKUP(2,GroupG,10,FALSE)</f>
        <v>3</v>
      </c>
    </row>
    <row r="48" spans="2:10" ht="11.25">
      <c r="B48" s="23" t="str">
        <f>" "&amp;VLOOKUP(3,GroupG,2,FALSE)</f>
        <v> Croatia</v>
      </c>
      <c r="C48" s="42">
        <f>VLOOKUP(3,GroupG,3,FALSE)</f>
        <v>2</v>
      </c>
      <c r="D48" s="42">
        <f>VLOOKUP(3,GroupG,4,FALSE)</f>
        <v>1</v>
      </c>
      <c r="E48" s="42">
        <f>VLOOKUP(3,GroupG,5,FALSE)</f>
        <v>0</v>
      </c>
      <c r="F48" s="42">
        <f>VLOOKUP(3,GroupG,6,FALSE)</f>
        <v>1</v>
      </c>
      <c r="G48" s="42">
        <f>VLOOKUP(3,GroupG,7,FALSE)</f>
        <v>2</v>
      </c>
      <c r="H48" s="42">
        <f>VLOOKUP(3,GroupG,8,FALSE)</f>
        <v>2</v>
      </c>
      <c r="I48" s="42">
        <f>VLOOKUP(3,GroupG,9,FALSE)</f>
        <v>0</v>
      </c>
      <c r="J48" s="43">
        <f>VLOOKUP(3,GroupG,10,FALSE)</f>
        <v>3</v>
      </c>
    </row>
    <row r="49" spans="2:10" ht="11.25">
      <c r="B49" s="25" t="str">
        <f>" "&amp;VLOOKUP(4,GroupG,2,FALSE)</f>
        <v> Ecuador</v>
      </c>
      <c r="C49" s="44">
        <f>VLOOKUP(4,GroupG,3,FALSE)</f>
        <v>1</v>
      </c>
      <c r="D49" s="44">
        <f>VLOOKUP(4,GroupG,4,FALSE)</f>
        <v>0</v>
      </c>
      <c r="E49" s="44">
        <f>VLOOKUP(4,GroupG,5,FALSE)</f>
        <v>0</v>
      </c>
      <c r="F49" s="44">
        <f>VLOOKUP(4,GroupG,6,FALSE)</f>
        <v>1</v>
      </c>
      <c r="G49" s="44">
        <f>VLOOKUP(4,GroupG,7,FALSE)</f>
        <v>0</v>
      </c>
      <c r="H49" s="44">
        <f>VLOOKUP(4,GroupG,8,FALSE)</f>
        <v>2</v>
      </c>
      <c r="I49" s="44">
        <f>VLOOKUP(4,GroupG,9,FALSE)</f>
        <v>-2</v>
      </c>
      <c r="J49" s="45">
        <f>VLOOKUP(4,GroupG,10,FALSE)</f>
        <v>0</v>
      </c>
    </row>
    <row r="51" spans="2:10" s="16" customFormat="1" ht="12.75" customHeight="1">
      <c r="B51" s="17" t="s">
        <v>56</v>
      </c>
      <c r="C51" s="18"/>
      <c r="D51" s="18"/>
      <c r="E51" s="18"/>
      <c r="F51" s="18"/>
      <c r="G51" s="18"/>
      <c r="H51" s="18"/>
      <c r="I51" s="18"/>
      <c r="J51" s="19"/>
    </row>
    <row r="52" spans="2:10" s="20" customFormat="1" ht="9.75">
      <c r="B52" s="21"/>
      <c r="C52" s="41" t="s">
        <v>121</v>
      </c>
      <c r="D52" s="41" t="s">
        <v>122</v>
      </c>
      <c r="E52" s="41" t="s">
        <v>123</v>
      </c>
      <c r="F52" s="41" t="s">
        <v>124</v>
      </c>
      <c r="G52" s="41" t="s">
        <v>118</v>
      </c>
      <c r="H52" s="41" t="s">
        <v>119</v>
      </c>
      <c r="I52" s="41" t="s">
        <v>120</v>
      </c>
      <c r="J52" s="46" t="s">
        <v>125</v>
      </c>
    </row>
    <row r="53" spans="2:10" ht="11.25">
      <c r="B53" s="23" t="str">
        <f>" "&amp;VLOOKUP(1,GroupH,2,FALSE)</f>
        <v> Russia</v>
      </c>
      <c r="C53" s="42">
        <f>VLOOKUP(1,GroupH,3,FALSE)</f>
        <v>1</v>
      </c>
      <c r="D53" s="42">
        <f>VLOOKUP(1,GroupH,4,FALSE)</f>
        <v>1</v>
      </c>
      <c r="E53" s="42">
        <f>VLOOKUP(1,GroupH,5,FALSE)</f>
        <v>0</v>
      </c>
      <c r="F53" s="42">
        <f>VLOOKUP(1,GroupH,6,FALSE)</f>
        <v>0</v>
      </c>
      <c r="G53" s="42">
        <f>VLOOKUP(1,GroupH,7,FALSE)</f>
        <v>2</v>
      </c>
      <c r="H53" s="42">
        <f>VLOOKUP(1,GroupH,8,FALSE)</f>
        <v>0</v>
      </c>
      <c r="I53" s="42">
        <f>VLOOKUP(1,GroupH,9,FALSE)</f>
        <v>2</v>
      </c>
      <c r="J53" s="43">
        <f>VLOOKUP(1,GroupH,10,FALSE)</f>
        <v>3</v>
      </c>
    </row>
    <row r="54" spans="2:10" ht="11.25">
      <c r="B54" s="23" t="str">
        <f>" "&amp;VLOOKUP(2,GroupH,2,FALSE)</f>
        <v> Japan</v>
      </c>
      <c r="C54" s="42">
        <f>VLOOKUP(2,GroupH,3,FALSE)</f>
        <v>1</v>
      </c>
      <c r="D54" s="42">
        <f>VLOOKUP(2,GroupH,4,FALSE)</f>
        <v>0</v>
      </c>
      <c r="E54" s="42">
        <f>VLOOKUP(2,GroupH,5,FALSE)</f>
        <v>1</v>
      </c>
      <c r="F54" s="42">
        <f>VLOOKUP(2,GroupH,6,FALSE)</f>
        <v>0</v>
      </c>
      <c r="G54" s="42">
        <f>VLOOKUP(2,GroupH,7,FALSE)</f>
        <v>2</v>
      </c>
      <c r="H54" s="42">
        <f>VLOOKUP(2,GroupH,8,FALSE)</f>
        <v>2</v>
      </c>
      <c r="I54" s="42">
        <f>VLOOKUP(2,GroupH,9,FALSE)</f>
        <v>0</v>
      </c>
      <c r="J54" s="43">
        <f>VLOOKUP(2,GroupH,10,FALSE)</f>
        <v>1</v>
      </c>
    </row>
    <row r="55" spans="2:10" ht="11.25">
      <c r="B55" s="23" t="str">
        <f>" "&amp;VLOOKUP(3,GroupH,2,FALSE)</f>
        <v> Belgium</v>
      </c>
      <c r="C55" s="42">
        <f>VLOOKUP(3,GroupH,3,FALSE)</f>
        <v>1</v>
      </c>
      <c r="D55" s="42">
        <f>VLOOKUP(3,GroupH,4,FALSE)</f>
        <v>0</v>
      </c>
      <c r="E55" s="42">
        <f>VLOOKUP(3,GroupH,5,FALSE)</f>
        <v>1</v>
      </c>
      <c r="F55" s="42">
        <f>VLOOKUP(3,GroupH,6,FALSE)</f>
        <v>0</v>
      </c>
      <c r="G55" s="42">
        <f>VLOOKUP(3,GroupH,7,FALSE)</f>
        <v>2</v>
      </c>
      <c r="H55" s="42">
        <f>VLOOKUP(3,GroupH,8,FALSE)</f>
        <v>2</v>
      </c>
      <c r="I55" s="42">
        <f>VLOOKUP(3,GroupH,9,FALSE)</f>
        <v>0</v>
      </c>
      <c r="J55" s="43">
        <f>VLOOKUP(3,GroupH,10,FALSE)</f>
        <v>1</v>
      </c>
    </row>
    <row r="56" spans="2:10" ht="11.25">
      <c r="B56" s="25" t="str">
        <f>" "&amp;VLOOKUP(4,GroupH,2,FALSE)</f>
        <v> Tunisia</v>
      </c>
      <c r="C56" s="44">
        <f>VLOOKUP(4,GroupH,3,FALSE)</f>
        <v>1</v>
      </c>
      <c r="D56" s="44">
        <f>VLOOKUP(4,GroupH,4,FALSE)</f>
        <v>0</v>
      </c>
      <c r="E56" s="44">
        <f>VLOOKUP(4,GroupH,5,FALSE)</f>
        <v>0</v>
      </c>
      <c r="F56" s="44">
        <f>VLOOKUP(4,GroupH,6,FALSE)</f>
        <v>1</v>
      </c>
      <c r="G56" s="44">
        <f>VLOOKUP(4,GroupH,7,FALSE)</f>
        <v>0</v>
      </c>
      <c r="H56" s="44">
        <f>VLOOKUP(4,GroupH,8,FALSE)</f>
        <v>2</v>
      </c>
      <c r="I56" s="44">
        <f>VLOOKUP(4,GroupH,9,FALSE)</f>
        <v>-2</v>
      </c>
      <c r="J56" s="45">
        <f>VLOOKUP(4,GroupH,10,FALSE)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11"/>
  <sheetViews>
    <sheetView workbookViewId="0" topLeftCell="A1">
      <selection activeCell="I12" sqref="I12"/>
    </sheetView>
  </sheetViews>
  <sheetFormatPr defaultColWidth="9.140625" defaultRowHeight="12.75"/>
  <cols>
    <col min="1" max="1" width="3.57421875" style="15" customWidth="1"/>
    <col min="2" max="2" width="4.140625" style="2" customWidth="1"/>
    <col min="3" max="3" width="8.8515625" style="1" customWidth="1"/>
    <col min="4" max="4" width="0.2890625" style="1" customWidth="1"/>
    <col min="5" max="6" width="2.140625" style="2" customWidth="1"/>
    <col min="7" max="7" width="0.5625" style="2" customWidth="1"/>
    <col min="8" max="8" width="8.8515625" style="1" customWidth="1"/>
    <col min="9" max="9" width="7.8515625" style="1" customWidth="1"/>
    <col min="10" max="10" width="3.7109375" style="2" customWidth="1"/>
    <col min="11" max="11" width="3.7109375" style="1" hidden="1" customWidth="1"/>
    <col min="12" max="12" width="6.7109375" style="1" hidden="1" customWidth="1"/>
    <col min="13" max="14" width="3.00390625" style="2" hidden="1" customWidth="1"/>
    <col min="15" max="18" width="3.7109375" style="2" hidden="1" customWidth="1"/>
    <col min="19" max="19" width="3.7109375" style="1" hidden="1" customWidth="1"/>
    <col min="20" max="25" width="3.7109375" style="2" hidden="1" customWidth="1"/>
    <col min="26" max="26" width="3.7109375" style="1" hidden="1" customWidth="1"/>
    <col min="27" max="27" width="4.140625" style="1" hidden="1" customWidth="1"/>
    <col min="28" max="28" width="5.140625" style="1" hidden="1" customWidth="1"/>
    <col min="29" max="29" width="4.421875" style="3" hidden="1" customWidth="1"/>
    <col min="30" max="30" width="8.28125" style="1" hidden="1" customWidth="1"/>
    <col min="31" max="31" width="2.7109375" style="2" hidden="1" customWidth="1"/>
    <col min="32" max="32" width="5.28125" style="1" hidden="1" customWidth="1"/>
    <col min="33" max="33" width="2.7109375" style="2" hidden="1" customWidth="1"/>
    <col min="34" max="34" width="6.8515625" style="1" hidden="1" customWidth="1"/>
    <col min="35" max="36" width="5.28125" style="1" hidden="1" customWidth="1"/>
    <col min="37" max="37" width="3.8515625" style="3" hidden="1" customWidth="1"/>
    <col min="38" max="38" width="7.8515625" style="1" hidden="1" customWidth="1"/>
    <col min="39" max="39" width="2.7109375" style="2" hidden="1" customWidth="1"/>
    <col min="40" max="40" width="5.28125" style="1" hidden="1" customWidth="1"/>
    <col min="41" max="41" width="2.7109375" style="2" hidden="1" customWidth="1"/>
    <col min="42" max="42" width="10.7109375" style="1" hidden="1" customWidth="1"/>
    <col min="43" max="16384" width="9.140625" style="1" customWidth="1"/>
  </cols>
  <sheetData>
    <row r="1" spans="1:10" ht="10.5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0.5">
      <c r="A2" s="38" t="s">
        <v>126</v>
      </c>
      <c r="B2" s="39" t="s">
        <v>127</v>
      </c>
      <c r="C2" s="5"/>
      <c r="D2" s="5"/>
      <c r="E2" s="5"/>
      <c r="F2" s="5"/>
      <c r="G2" s="5"/>
      <c r="H2" s="5"/>
      <c r="I2" s="39" t="s">
        <v>128</v>
      </c>
      <c r="J2" s="5"/>
    </row>
    <row r="3" spans="1:10" ht="10.5" thickBo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42" ht="11.25" thickBot="1">
      <c r="A4" s="37">
        <v>37422</v>
      </c>
      <c r="B4" s="8">
        <v>0.6458333333333334</v>
      </c>
      <c r="C4" s="9" t="str">
        <f>IF(SUM(PldE)=12,TRIM(WinnerE),"Winner E")</f>
        <v>Winner E</v>
      </c>
      <c r="D4" s="9"/>
      <c r="E4" s="10"/>
      <c r="F4" s="11"/>
      <c r="G4" s="12"/>
      <c r="H4" s="13" t="str">
        <f>IF(SUM(PldB)=12,TRIM(RunnerUpB),"Runner-up B")</f>
        <v>Runner-up B</v>
      </c>
      <c r="I4" s="40" t="s">
        <v>140</v>
      </c>
      <c r="J4" s="12">
        <v>1</v>
      </c>
      <c r="L4" s="1" t="str">
        <f>IF(M4=1,IF(E4&gt;F4,C4,H4),"2nd round 1")</f>
        <v>2nd round 1</v>
      </c>
      <c r="M4" s="2">
        <f aca="true" t="shared" si="0" ref="M4:M11">IF(AND(ISNUMBER(E4),ISNUMBER(F4)),1,0)</f>
        <v>0</v>
      </c>
      <c r="AA4" s="1" t="e">
        <f aca="true" t="shared" si="1" ref="AA4:AA11">400+VLOOKUP(C4,TeamToNum,2,FALSE)</f>
        <v>#N/A</v>
      </c>
      <c r="AB4" s="14">
        <f aca="true" t="shared" si="2" ref="AB4:AD11">A4</f>
        <v>37422</v>
      </c>
      <c r="AC4" s="3">
        <f t="shared" si="2"/>
        <v>0.6458333333333334</v>
      </c>
      <c r="AD4" s="1" t="str">
        <f t="shared" si="2"/>
        <v>Winner E</v>
      </c>
      <c r="AE4" s="2">
        <f aca="true" t="shared" si="3" ref="AE4:AE11">IF(E4="","",E4)</f>
      </c>
      <c r="AF4" s="1" t="str">
        <f aca="true" t="shared" si="4" ref="AF4:AF11">H4</f>
        <v>Runner-up B</v>
      </c>
      <c r="AG4" s="2">
        <f aca="true" t="shared" si="5" ref="AG4:AG11">IF(F4="","",F4)</f>
      </c>
      <c r="AH4" s="1" t="s">
        <v>57</v>
      </c>
      <c r="AI4" s="1" t="e">
        <f aca="true" t="shared" si="6" ref="AI4:AI11">400+VLOOKUP(AL4,TeamToNum,2,FALSE)</f>
        <v>#N/A</v>
      </c>
      <c r="AJ4" s="14">
        <f aca="true" t="shared" si="7" ref="AJ4:AK11">A4</f>
        <v>37422</v>
      </c>
      <c r="AK4" s="3">
        <f t="shared" si="7"/>
        <v>0.6458333333333334</v>
      </c>
      <c r="AL4" s="1" t="str">
        <f aca="true" t="shared" si="8" ref="AL4:AL11">H4</f>
        <v>Runner-up B</v>
      </c>
      <c r="AM4" s="2">
        <f aca="true" t="shared" si="9" ref="AM4:AM11">IF(F4="","",F4)</f>
      </c>
      <c r="AN4" s="1" t="str">
        <f aca="true" t="shared" si="10" ref="AN4:AN11">C4</f>
        <v>Winner E</v>
      </c>
      <c r="AO4" s="2">
        <f aca="true" t="shared" si="11" ref="AO4:AO11">IF(E4="","",E4)</f>
      </c>
      <c r="AP4" s="1" t="s">
        <v>57</v>
      </c>
    </row>
    <row r="5" spans="1:42" ht="11.25" thickBot="1">
      <c r="A5" s="37">
        <v>37422</v>
      </c>
      <c r="B5" s="8">
        <v>0.8541666666666666</v>
      </c>
      <c r="C5" s="9" t="str">
        <f>IF(SUM(PldA)=12,TRIM(WinnerA),"Winner A")</f>
        <v>Winner A</v>
      </c>
      <c r="D5" s="9"/>
      <c r="E5" s="10"/>
      <c r="F5" s="11"/>
      <c r="G5" s="12"/>
      <c r="H5" s="13" t="str">
        <f>IF(SUM(PldF)=12,TRIM(RunnerUpF),"Runner-up F")</f>
        <v>Runner-up F</v>
      </c>
      <c r="I5" s="40" t="s">
        <v>141</v>
      </c>
      <c r="J5" s="12">
        <v>2</v>
      </c>
      <c r="L5" s="1" t="str">
        <f>IF(M5=1,IF(E5&gt;F5,C5,H5),"2nd round 2")</f>
        <v>2nd round 2</v>
      </c>
      <c r="M5" s="2">
        <f t="shared" si="0"/>
        <v>0</v>
      </c>
      <c r="AA5" s="1" t="e">
        <f t="shared" si="1"/>
        <v>#N/A</v>
      </c>
      <c r="AB5" s="14">
        <f t="shared" si="2"/>
        <v>37422</v>
      </c>
      <c r="AC5" s="3">
        <f t="shared" si="2"/>
        <v>0.8541666666666666</v>
      </c>
      <c r="AD5" s="1" t="str">
        <f t="shared" si="2"/>
        <v>Winner A</v>
      </c>
      <c r="AE5" s="2">
        <f t="shared" si="3"/>
      </c>
      <c r="AF5" s="1" t="str">
        <f t="shared" si="4"/>
        <v>Runner-up F</v>
      </c>
      <c r="AG5" s="2">
        <f t="shared" si="5"/>
      </c>
      <c r="AH5" s="1" t="s">
        <v>57</v>
      </c>
      <c r="AI5" s="1" t="e">
        <f t="shared" si="6"/>
        <v>#N/A</v>
      </c>
      <c r="AJ5" s="14">
        <f t="shared" si="7"/>
        <v>37422</v>
      </c>
      <c r="AK5" s="3">
        <f t="shared" si="7"/>
        <v>0.8541666666666666</v>
      </c>
      <c r="AL5" s="1" t="str">
        <f t="shared" si="8"/>
        <v>Runner-up F</v>
      </c>
      <c r="AM5" s="2">
        <f t="shared" si="9"/>
      </c>
      <c r="AN5" s="1" t="str">
        <f t="shared" si="10"/>
        <v>Winner A</v>
      </c>
      <c r="AO5" s="2">
        <f t="shared" si="11"/>
      </c>
      <c r="AP5" s="1" t="s">
        <v>57</v>
      </c>
    </row>
    <row r="6" spans="1:42" ht="11.25" thickBot="1">
      <c r="A6" s="37">
        <v>37423</v>
      </c>
      <c r="B6" s="8">
        <v>0.6458333333333334</v>
      </c>
      <c r="C6" s="9" t="str">
        <f>IF(SUM(PldF)=12,TRIM(WinnerF),"Winner F")</f>
        <v>Winner F</v>
      </c>
      <c r="D6" s="9"/>
      <c r="E6" s="10"/>
      <c r="F6" s="11"/>
      <c r="G6" s="12"/>
      <c r="H6" s="13" t="str">
        <f>IF(SUM(PldA)=12,TRIM(RunnerUpA),"Runner-up A")</f>
        <v>Runner-up A</v>
      </c>
      <c r="I6" s="40" t="s">
        <v>142</v>
      </c>
      <c r="J6" s="12">
        <v>3</v>
      </c>
      <c r="L6" s="1" t="str">
        <f>IF(M6=1,IF(E6&gt;F6,C6,H6),"2nd round 3")</f>
        <v>2nd round 3</v>
      </c>
      <c r="M6" s="2">
        <f t="shared" si="0"/>
        <v>0</v>
      </c>
      <c r="AA6" s="1" t="e">
        <f t="shared" si="1"/>
        <v>#N/A</v>
      </c>
      <c r="AB6" s="14">
        <f t="shared" si="2"/>
        <v>37423</v>
      </c>
      <c r="AC6" s="3">
        <f t="shared" si="2"/>
        <v>0.6458333333333334</v>
      </c>
      <c r="AD6" s="1" t="str">
        <f t="shared" si="2"/>
        <v>Winner F</v>
      </c>
      <c r="AE6" s="2">
        <f t="shared" si="3"/>
      </c>
      <c r="AF6" s="1" t="str">
        <f t="shared" si="4"/>
        <v>Runner-up A</v>
      </c>
      <c r="AG6" s="2">
        <f t="shared" si="5"/>
      </c>
      <c r="AH6" s="1" t="s">
        <v>57</v>
      </c>
      <c r="AI6" s="1" t="e">
        <f t="shared" si="6"/>
        <v>#N/A</v>
      </c>
      <c r="AJ6" s="14">
        <f t="shared" si="7"/>
        <v>37423</v>
      </c>
      <c r="AK6" s="3">
        <f t="shared" si="7"/>
        <v>0.6458333333333334</v>
      </c>
      <c r="AL6" s="1" t="str">
        <f t="shared" si="8"/>
        <v>Runner-up A</v>
      </c>
      <c r="AM6" s="2">
        <f t="shared" si="9"/>
      </c>
      <c r="AN6" s="1" t="str">
        <f t="shared" si="10"/>
        <v>Winner F</v>
      </c>
      <c r="AO6" s="2">
        <f t="shared" si="11"/>
      </c>
      <c r="AP6" s="1" t="s">
        <v>57</v>
      </c>
    </row>
    <row r="7" spans="1:42" ht="11.25" thickBot="1">
      <c r="A7" s="37">
        <v>37423</v>
      </c>
      <c r="B7" s="8">
        <v>0.8541666666666666</v>
      </c>
      <c r="C7" s="9" t="str">
        <f>IF(SUM(PldB)=12,TRIM(WinnerB),"Winner B")</f>
        <v>Winner B</v>
      </c>
      <c r="D7" s="9"/>
      <c r="E7" s="10"/>
      <c r="F7" s="11"/>
      <c r="G7" s="12"/>
      <c r="H7" s="13" t="str">
        <f>IF(SUM(PldE)=12,TRIM(RunnerUpE),"Runner-up E")</f>
        <v>Runner-up E</v>
      </c>
      <c r="I7" s="40" t="s">
        <v>143</v>
      </c>
      <c r="J7" s="12">
        <v>4</v>
      </c>
      <c r="L7" s="1" t="str">
        <f>IF(M7=1,IF(E7&gt;F7,C7,H7),"2nd round 4")</f>
        <v>2nd round 4</v>
      </c>
      <c r="M7" s="2">
        <f t="shared" si="0"/>
        <v>0</v>
      </c>
      <c r="AA7" s="1" t="e">
        <f t="shared" si="1"/>
        <v>#N/A</v>
      </c>
      <c r="AB7" s="14">
        <f t="shared" si="2"/>
        <v>37423</v>
      </c>
      <c r="AC7" s="3">
        <f t="shared" si="2"/>
        <v>0.8541666666666666</v>
      </c>
      <c r="AD7" s="1" t="str">
        <f t="shared" si="2"/>
        <v>Winner B</v>
      </c>
      <c r="AE7" s="2">
        <f t="shared" si="3"/>
      </c>
      <c r="AF7" s="1" t="str">
        <f t="shared" si="4"/>
        <v>Runner-up E</v>
      </c>
      <c r="AG7" s="2">
        <f t="shared" si="5"/>
      </c>
      <c r="AH7" s="1" t="s">
        <v>57</v>
      </c>
      <c r="AI7" s="1" t="e">
        <f t="shared" si="6"/>
        <v>#N/A</v>
      </c>
      <c r="AJ7" s="14">
        <f t="shared" si="7"/>
        <v>37423</v>
      </c>
      <c r="AK7" s="3">
        <f t="shared" si="7"/>
        <v>0.8541666666666666</v>
      </c>
      <c r="AL7" s="1" t="str">
        <f t="shared" si="8"/>
        <v>Runner-up E</v>
      </c>
      <c r="AM7" s="2">
        <f t="shared" si="9"/>
      </c>
      <c r="AN7" s="1" t="str">
        <f t="shared" si="10"/>
        <v>Winner B</v>
      </c>
      <c r="AO7" s="2">
        <f t="shared" si="11"/>
      </c>
      <c r="AP7" s="1" t="s">
        <v>57</v>
      </c>
    </row>
    <row r="8" spans="1:42" ht="11.25" thickBot="1">
      <c r="A8" s="37">
        <v>37424</v>
      </c>
      <c r="B8" s="8">
        <v>0.6458333333333334</v>
      </c>
      <c r="C8" s="9" t="str">
        <f>IF(SUM(PldG)=12,TRIM(WinnerG),"Winner G")</f>
        <v>Winner G</v>
      </c>
      <c r="D8" s="9"/>
      <c r="E8" s="10"/>
      <c r="F8" s="11"/>
      <c r="G8" s="12"/>
      <c r="H8" s="13" t="str">
        <f>IF(SUM(PldD)=12,TRIM(RunnerUpD),"Runner-up D")</f>
        <v>Runner-up D</v>
      </c>
      <c r="I8" s="40" t="s">
        <v>144</v>
      </c>
      <c r="J8" s="12">
        <v>5</v>
      </c>
      <c r="L8" s="1" t="str">
        <f>IF(M8=1,IF(E8&gt;F8,C8,H8),"2nd round 5")</f>
        <v>2nd round 5</v>
      </c>
      <c r="M8" s="2">
        <f t="shared" si="0"/>
        <v>0</v>
      </c>
      <c r="AA8" s="1" t="e">
        <f t="shared" si="1"/>
        <v>#N/A</v>
      </c>
      <c r="AB8" s="14">
        <f t="shared" si="2"/>
        <v>37424</v>
      </c>
      <c r="AC8" s="3">
        <f t="shared" si="2"/>
        <v>0.6458333333333334</v>
      </c>
      <c r="AD8" s="1" t="str">
        <f t="shared" si="2"/>
        <v>Winner G</v>
      </c>
      <c r="AE8" s="2">
        <f t="shared" si="3"/>
      </c>
      <c r="AF8" s="1" t="str">
        <f t="shared" si="4"/>
        <v>Runner-up D</v>
      </c>
      <c r="AG8" s="2">
        <f t="shared" si="5"/>
      </c>
      <c r="AH8" s="1" t="s">
        <v>57</v>
      </c>
      <c r="AI8" s="1" t="e">
        <f t="shared" si="6"/>
        <v>#N/A</v>
      </c>
      <c r="AJ8" s="14">
        <f t="shared" si="7"/>
        <v>37424</v>
      </c>
      <c r="AK8" s="3">
        <f t="shared" si="7"/>
        <v>0.6458333333333334</v>
      </c>
      <c r="AL8" s="1" t="str">
        <f t="shared" si="8"/>
        <v>Runner-up D</v>
      </c>
      <c r="AM8" s="2">
        <f t="shared" si="9"/>
      </c>
      <c r="AN8" s="1" t="str">
        <f t="shared" si="10"/>
        <v>Winner G</v>
      </c>
      <c r="AO8" s="2">
        <f t="shared" si="11"/>
      </c>
      <c r="AP8" s="1" t="s">
        <v>57</v>
      </c>
    </row>
    <row r="9" spans="1:42" ht="11.25" thickBot="1">
      <c r="A9" s="37">
        <v>37424</v>
      </c>
      <c r="B9" s="8">
        <v>0.8541666666666666</v>
      </c>
      <c r="C9" s="9" t="str">
        <f>IF(SUM(PldC)=12,TRIM(WinnerC),"Winner C")</f>
        <v>Winner C</v>
      </c>
      <c r="D9" s="9"/>
      <c r="E9" s="10"/>
      <c r="F9" s="11"/>
      <c r="G9" s="12"/>
      <c r="H9" s="13" t="str">
        <f>IF(SUM(PldH)=12,TRIM(RunnerUpH),"Runner-up H")</f>
        <v>Runner-up H</v>
      </c>
      <c r="I9" s="40" t="s">
        <v>145</v>
      </c>
      <c r="J9" s="12">
        <v>6</v>
      </c>
      <c r="L9" s="1" t="str">
        <f>IF(M9=1,IF(E9&gt;F9,C9,H9),"2nd round 6")</f>
        <v>2nd round 6</v>
      </c>
      <c r="M9" s="2">
        <f t="shared" si="0"/>
        <v>0</v>
      </c>
      <c r="AA9" s="1" t="e">
        <f t="shared" si="1"/>
        <v>#N/A</v>
      </c>
      <c r="AB9" s="14">
        <f t="shared" si="2"/>
        <v>37424</v>
      </c>
      <c r="AC9" s="3">
        <f t="shared" si="2"/>
        <v>0.8541666666666666</v>
      </c>
      <c r="AD9" s="1" t="str">
        <f t="shared" si="2"/>
        <v>Winner C</v>
      </c>
      <c r="AE9" s="2">
        <f t="shared" si="3"/>
      </c>
      <c r="AF9" s="1" t="str">
        <f t="shared" si="4"/>
        <v>Runner-up H</v>
      </c>
      <c r="AG9" s="2">
        <f t="shared" si="5"/>
      </c>
      <c r="AH9" s="1" t="s">
        <v>57</v>
      </c>
      <c r="AI9" s="1" t="e">
        <f t="shared" si="6"/>
        <v>#N/A</v>
      </c>
      <c r="AJ9" s="14">
        <f t="shared" si="7"/>
        <v>37424</v>
      </c>
      <c r="AK9" s="3">
        <f t="shared" si="7"/>
        <v>0.8541666666666666</v>
      </c>
      <c r="AL9" s="1" t="str">
        <f t="shared" si="8"/>
        <v>Runner-up H</v>
      </c>
      <c r="AM9" s="2">
        <f t="shared" si="9"/>
      </c>
      <c r="AN9" s="1" t="str">
        <f t="shared" si="10"/>
        <v>Winner C</v>
      </c>
      <c r="AO9" s="2">
        <f t="shared" si="11"/>
      </c>
      <c r="AP9" s="1" t="s">
        <v>57</v>
      </c>
    </row>
    <row r="10" spans="1:42" ht="11.25" thickBot="1">
      <c r="A10" s="37">
        <v>37425</v>
      </c>
      <c r="B10" s="8">
        <v>0.6458333333333334</v>
      </c>
      <c r="C10" s="9" t="str">
        <f>IF(SUM(PldH)=12,TRIM(WinnerH),"Winner H")</f>
        <v>Winner H</v>
      </c>
      <c r="D10" s="9"/>
      <c r="E10" s="10"/>
      <c r="F10" s="11"/>
      <c r="G10" s="12"/>
      <c r="H10" s="13" t="str">
        <f>IF(SUM(PldC)=12,TRIM(RunnerUpC),"Runner-up C")</f>
        <v>Runner-up C</v>
      </c>
      <c r="I10" s="40" t="s">
        <v>146</v>
      </c>
      <c r="J10" s="12">
        <v>7</v>
      </c>
      <c r="L10" s="1" t="str">
        <f>IF(M10=1,IF(E10&gt;F10,C10,H10),"2nd round 7")</f>
        <v>2nd round 7</v>
      </c>
      <c r="M10" s="2">
        <f t="shared" si="0"/>
        <v>0</v>
      </c>
      <c r="AA10" s="1" t="e">
        <f t="shared" si="1"/>
        <v>#N/A</v>
      </c>
      <c r="AB10" s="14">
        <f t="shared" si="2"/>
        <v>37425</v>
      </c>
      <c r="AC10" s="3">
        <f t="shared" si="2"/>
        <v>0.6458333333333334</v>
      </c>
      <c r="AD10" s="1" t="str">
        <f t="shared" si="2"/>
        <v>Winner H</v>
      </c>
      <c r="AE10" s="2">
        <f t="shared" si="3"/>
      </c>
      <c r="AF10" s="1" t="str">
        <f t="shared" si="4"/>
        <v>Runner-up C</v>
      </c>
      <c r="AG10" s="2">
        <f t="shared" si="5"/>
      </c>
      <c r="AH10" s="1" t="s">
        <v>57</v>
      </c>
      <c r="AI10" s="1" t="e">
        <f t="shared" si="6"/>
        <v>#N/A</v>
      </c>
      <c r="AJ10" s="14">
        <f t="shared" si="7"/>
        <v>37425</v>
      </c>
      <c r="AK10" s="3">
        <f t="shared" si="7"/>
        <v>0.6458333333333334</v>
      </c>
      <c r="AL10" s="1" t="str">
        <f t="shared" si="8"/>
        <v>Runner-up C</v>
      </c>
      <c r="AM10" s="2">
        <f t="shared" si="9"/>
      </c>
      <c r="AN10" s="1" t="str">
        <f t="shared" si="10"/>
        <v>Winner H</v>
      </c>
      <c r="AO10" s="2">
        <f t="shared" si="11"/>
      </c>
      <c r="AP10" s="1" t="s">
        <v>57</v>
      </c>
    </row>
    <row r="11" spans="1:42" ht="11.25" thickBot="1">
      <c r="A11" s="37">
        <v>37425</v>
      </c>
      <c r="B11" s="8">
        <v>0.8541666666666666</v>
      </c>
      <c r="C11" s="9" t="str">
        <f>IF(SUM(PldD)=12,TRIM(WinnerD),"Winner D")</f>
        <v>Winner D</v>
      </c>
      <c r="D11" s="9"/>
      <c r="E11" s="10"/>
      <c r="F11" s="11"/>
      <c r="G11" s="12"/>
      <c r="H11" s="13" t="str">
        <f>IF(SUM(PldG)=12,TRIM(RunnerUpG),"Runner-up G")</f>
        <v>Runner-up G</v>
      </c>
      <c r="I11" s="40" t="s">
        <v>147</v>
      </c>
      <c r="J11" s="12">
        <v>8</v>
      </c>
      <c r="L11" s="1" t="str">
        <f>IF(M11=1,IF(E11&gt;F11,C11,H11),"2nd round 8")</f>
        <v>2nd round 8</v>
      </c>
      <c r="M11" s="2">
        <f t="shared" si="0"/>
        <v>0</v>
      </c>
      <c r="AA11" s="1" t="e">
        <f t="shared" si="1"/>
        <v>#N/A</v>
      </c>
      <c r="AB11" s="14">
        <f t="shared" si="2"/>
        <v>37425</v>
      </c>
      <c r="AC11" s="3">
        <f t="shared" si="2"/>
        <v>0.8541666666666666</v>
      </c>
      <c r="AD11" s="1" t="str">
        <f t="shared" si="2"/>
        <v>Winner D</v>
      </c>
      <c r="AE11" s="2">
        <f t="shared" si="3"/>
      </c>
      <c r="AF11" s="1" t="str">
        <f t="shared" si="4"/>
        <v>Runner-up G</v>
      </c>
      <c r="AG11" s="2">
        <f t="shared" si="5"/>
      </c>
      <c r="AH11" s="1" t="s">
        <v>57</v>
      </c>
      <c r="AI11" s="1" t="e">
        <f t="shared" si="6"/>
        <v>#N/A</v>
      </c>
      <c r="AJ11" s="14">
        <f t="shared" si="7"/>
        <v>37425</v>
      </c>
      <c r="AK11" s="3">
        <f t="shared" si="7"/>
        <v>0.8541666666666666</v>
      </c>
      <c r="AL11" s="1" t="str">
        <f t="shared" si="8"/>
        <v>Runner-up G</v>
      </c>
      <c r="AM11" s="2">
        <f t="shared" si="9"/>
      </c>
      <c r="AN11" s="1" t="str">
        <f t="shared" si="10"/>
        <v>Winner D</v>
      </c>
      <c r="AO11" s="2">
        <f t="shared" si="11"/>
      </c>
      <c r="AP11" s="1" t="s">
        <v>57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7"/>
  <sheetViews>
    <sheetView workbookViewId="0" topLeftCell="A1">
      <selection activeCell="I8" sqref="I8"/>
    </sheetView>
  </sheetViews>
  <sheetFormatPr defaultColWidth="9.140625" defaultRowHeight="12.75"/>
  <cols>
    <col min="1" max="1" width="4.28125" style="15" customWidth="1"/>
    <col min="2" max="2" width="4.28125" style="2" customWidth="1"/>
    <col min="3" max="3" width="8.8515625" style="1" customWidth="1"/>
    <col min="4" max="4" width="0.2890625" style="1" customWidth="1"/>
    <col min="5" max="6" width="2.140625" style="2" customWidth="1"/>
    <col min="7" max="7" width="0.5625" style="2" customWidth="1"/>
    <col min="8" max="8" width="8.8515625" style="1" customWidth="1"/>
    <col min="9" max="9" width="6.28125" style="1" customWidth="1"/>
    <col min="10" max="10" width="3.7109375" style="2" customWidth="1"/>
    <col min="11" max="11" width="3.7109375" style="1" hidden="1" customWidth="1"/>
    <col min="12" max="12" width="6.7109375" style="1" hidden="1" customWidth="1"/>
    <col min="13" max="14" width="3.00390625" style="2" hidden="1" customWidth="1"/>
    <col min="15" max="18" width="3.7109375" style="2" hidden="1" customWidth="1"/>
    <col min="19" max="19" width="3.7109375" style="1" hidden="1" customWidth="1"/>
    <col min="20" max="25" width="3.7109375" style="2" hidden="1" customWidth="1"/>
    <col min="26" max="26" width="3.7109375" style="1" hidden="1" customWidth="1"/>
    <col min="27" max="27" width="4.140625" style="1" hidden="1" customWidth="1"/>
    <col min="28" max="28" width="5.140625" style="1" hidden="1" customWidth="1"/>
    <col min="29" max="29" width="4.421875" style="3" hidden="1" customWidth="1"/>
    <col min="30" max="30" width="8.28125" style="1" hidden="1" customWidth="1"/>
    <col min="31" max="31" width="2.7109375" style="2" hidden="1" customWidth="1"/>
    <col min="32" max="32" width="5.28125" style="1" hidden="1" customWidth="1"/>
    <col min="33" max="33" width="2.7109375" style="2" hidden="1" customWidth="1"/>
    <col min="34" max="34" width="6.8515625" style="1" hidden="1" customWidth="1"/>
    <col min="35" max="36" width="5.28125" style="1" hidden="1" customWidth="1"/>
    <col min="37" max="37" width="3.8515625" style="3" hidden="1" customWidth="1"/>
    <col min="38" max="38" width="7.8515625" style="1" hidden="1" customWidth="1"/>
    <col min="39" max="39" width="2.7109375" style="2" hidden="1" customWidth="1"/>
    <col min="40" max="40" width="5.28125" style="1" hidden="1" customWidth="1"/>
    <col min="41" max="41" width="2.7109375" style="2" hidden="1" customWidth="1"/>
    <col min="42" max="42" width="10.7109375" style="1" hidden="1" customWidth="1"/>
    <col min="43" max="16384" width="9.140625" style="1" customWidth="1"/>
  </cols>
  <sheetData>
    <row r="1" spans="1:10" ht="10.5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0.5">
      <c r="A2" s="38" t="s">
        <v>129</v>
      </c>
      <c r="B2" s="39" t="s">
        <v>127</v>
      </c>
      <c r="C2" s="5"/>
      <c r="D2" s="5"/>
      <c r="E2" s="5"/>
      <c r="F2" s="5"/>
      <c r="G2" s="5"/>
      <c r="H2" s="5"/>
      <c r="I2" s="39" t="s">
        <v>130</v>
      </c>
      <c r="J2" s="5"/>
    </row>
    <row r="3" spans="1:10" ht="10.5" thickBo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42" ht="11.25" thickBot="1">
      <c r="A4" s="37">
        <v>37428</v>
      </c>
      <c r="B4" s="8">
        <v>0.6458333333333334</v>
      </c>
      <c r="C4" s="9" t="str">
        <f>'Second round'!L5</f>
        <v>2nd round 2</v>
      </c>
      <c r="D4" s="9"/>
      <c r="E4" s="10"/>
      <c r="F4" s="11"/>
      <c r="G4" s="12"/>
      <c r="H4" s="13" t="str">
        <f>'Second round'!L9</f>
        <v>2nd round 6</v>
      </c>
      <c r="I4" s="40" t="s">
        <v>148</v>
      </c>
      <c r="J4" s="12">
        <v>1</v>
      </c>
      <c r="L4" s="1" t="str">
        <f>IF(M4=1,IF(E4&gt;F4,C4,H4),"QF 1")</f>
        <v>QF 1</v>
      </c>
      <c r="M4" s="2">
        <f>IF(AND(ISNUMBER(E4),ISNUMBER(F4)),1,0)</f>
        <v>0</v>
      </c>
      <c r="AA4" s="1" t="e">
        <f>500+VLOOKUP(C4,TeamToNum,2,FALSE)</f>
        <v>#N/A</v>
      </c>
      <c r="AB4" s="14">
        <f aca="true" t="shared" si="0" ref="AB4:AD7">A4</f>
        <v>37428</v>
      </c>
      <c r="AC4" s="3">
        <f t="shared" si="0"/>
        <v>0.6458333333333334</v>
      </c>
      <c r="AD4" s="1" t="str">
        <f t="shared" si="0"/>
        <v>2nd round 2</v>
      </c>
      <c r="AE4" s="2">
        <f>IF(E4="","",E4)</f>
      </c>
      <c r="AF4" s="1" t="str">
        <f>H4</f>
        <v>2nd round 6</v>
      </c>
      <c r="AG4" s="2">
        <f>IF(F4="","",F4)</f>
      </c>
      <c r="AH4" s="1" t="s">
        <v>58</v>
      </c>
      <c r="AI4" s="1" t="e">
        <f>500+VLOOKUP(AL4,TeamToNum,2,FALSE)</f>
        <v>#N/A</v>
      </c>
      <c r="AJ4" s="14">
        <f aca="true" t="shared" si="1" ref="AJ4:AK7">A4</f>
        <v>37428</v>
      </c>
      <c r="AK4" s="3">
        <f t="shared" si="1"/>
        <v>0.6458333333333334</v>
      </c>
      <c r="AL4" s="1" t="str">
        <f>H4</f>
        <v>2nd round 6</v>
      </c>
      <c r="AM4" s="2">
        <f>IF(F4="","",F4)</f>
      </c>
      <c r="AN4" s="1" t="str">
        <f>C4</f>
        <v>2nd round 2</v>
      </c>
      <c r="AO4" s="2">
        <f>IF(E4="","",E4)</f>
      </c>
      <c r="AP4" s="1" t="s">
        <v>58</v>
      </c>
    </row>
    <row r="5" spans="1:42" ht="11.25" thickBot="1">
      <c r="A5" s="37">
        <v>37428</v>
      </c>
      <c r="B5" s="8">
        <v>0.8541666666666666</v>
      </c>
      <c r="C5" s="9" t="str">
        <f>'Second round'!L4</f>
        <v>2nd round 1</v>
      </c>
      <c r="D5" s="9"/>
      <c r="E5" s="10"/>
      <c r="F5" s="11"/>
      <c r="G5" s="12"/>
      <c r="H5" s="13" t="str">
        <f>'Second round'!L8</f>
        <v>2nd round 5</v>
      </c>
      <c r="I5" s="40" t="s">
        <v>149</v>
      </c>
      <c r="J5" s="12">
        <v>2</v>
      </c>
      <c r="L5" s="1" t="str">
        <f>IF(M5=1,IF(E5&gt;F5,C5,H5),"QF 2")</f>
        <v>QF 2</v>
      </c>
      <c r="M5" s="2">
        <f>IF(AND(ISNUMBER(E5),ISNUMBER(F5)),1,0)</f>
        <v>0</v>
      </c>
      <c r="AA5" s="1" t="e">
        <f>500+VLOOKUP(C5,TeamToNum,2,FALSE)</f>
        <v>#N/A</v>
      </c>
      <c r="AB5" s="14">
        <f t="shared" si="0"/>
        <v>37428</v>
      </c>
      <c r="AC5" s="3">
        <f t="shared" si="0"/>
        <v>0.8541666666666666</v>
      </c>
      <c r="AD5" s="1" t="str">
        <f t="shared" si="0"/>
        <v>2nd round 1</v>
      </c>
      <c r="AE5" s="2">
        <f>IF(E5="","",E5)</f>
      </c>
      <c r="AF5" s="1" t="str">
        <f>H5</f>
        <v>2nd round 5</v>
      </c>
      <c r="AG5" s="2">
        <f>IF(F5="","",F5)</f>
      </c>
      <c r="AH5" s="1" t="s">
        <v>58</v>
      </c>
      <c r="AI5" s="1" t="e">
        <f>500+VLOOKUP(AL5,TeamToNum,2,FALSE)</f>
        <v>#N/A</v>
      </c>
      <c r="AJ5" s="14">
        <f t="shared" si="1"/>
        <v>37428</v>
      </c>
      <c r="AK5" s="3">
        <f t="shared" si="1"/>
        <v>0.8541666666666666</v>
      </c>
      <c r="AL5" s="1" t="str">
        <f>H5</f>
        <v>2nd round 5</v>
      </c>
      <c r="AM5" s="2">
        <f>IF(F5="","",F5)</f>
      </c>
      <c r="AN5" s="1" t="str">
        <f>C5</f>
        <v>2nd round 1</v>
      </c>
      <c r="AO5" s="2">
        <f>IF(E5="","",E5)</f>
      </c>
      <c r="AP5" s="1" t="s">
        <v>58</v>
      </c>
    </row>
    <row r="6" spans="1:42" ht="11.25" thickBot="1">
      <c r="A6" s="37">
        <v>37429</v>
      </c>
      <c r="B6" s="8">
        <v>0.6458333333333334</v>
      </c>
      <c r="C6" s="9" t="str">
        <f>'Second round'!L7</f>
        <v>2nd round 4</v>
      </c>
      <c r="D6" s="9"/>
      <c r="E6" s="10"/>
      <c r="F6" s="11"/>
      <c r="G6" s="12"/>
      <c r="H6" s="13" t="str">
        <f>'Second round'!L11</f>
        <v>2nd round 8</v>
      </c>
      <c r="I6" s="40" t="s">
        <v>150</v>
      </c>
      <c r="J6" s="12">
        <v>3</v>
      </c>
      <c r="L6" s="1" t="str">
        <f>IF(M6=1,IF(E6&gt;F6,C6,H6),"QF 3")</f>
        <v>QF 3</v>
      </c>
      <c r="M6" s="2">
        <f>IF(AND(ISNUMBER(E6),ISNUMBER(F6)),1,0)</f>
        <v>0</v>
      </c>
      <c r="AA6" s="1" t="e">
        <f>500+VLOOKUP(C6,TeamToNum,2,FALSE)</f>
        <v>#N/A</v>
      </c>
      <c r="AB6" s="14">
        <f t="shared" si="0"/>
        <v>37429</v>
      </c>
      <c r="AC6" s="3">
        <f t="shared" si="0"/>
        <v>0.6458333333333334</v>
      </c>
      <c r="AD6" s="1" t="str">
        <f t="shared" si="0"/>
        <v>2nd round 4</v>
      </c>
      <c r="AE6" s="2">
        <f>IF(E6="","",E6)</f>
      </c>
      <c r="AF6" s="1" t="str">
        <f>H6</f>
        <v>2nd round 8</v>
      </c>
      <c r="AG6" s="2">
        <f>IF(F6="","",F6)</f>
      </c>
      <c r="AH6" s="1" t="s">
        <v>58</v>
      </c>
      <c r="AI6" s="1" t="e">
        <f>500+VLOOKUP(AL6,TeamToNum,2,FALSE)</f>
        <v>#N/A</v>
      </c>
      <c r="AJ6" s="14">
        <f t="shared" si="1"/>
        <v>37429</v>
      </c>
      <c r="AK6" s="3">
        <f t="shared" si="1"/>
        <v>0.6458333333333334</v>
      </c>
      <c r="AL6" s="1" t="str">
        <f>H6</f>
        <v>2nd round 8</v>
      </c>
      <c r="AM6" s="2">
        <f>IF(F6="","",F6)</f>
      </c>
      <c r="AN6" s="1" t="str">
        <f>C6</f>
        <v>2nd round 4</v>
      </c>
      <c r="AO6" s="2">
        <f>IF(E6="","",E6)</f>
      </c>
      <c r="AP6" s="1" t="s">
        <v>58</v>
      </c>
    </row>
    <row r="7" spans="1:42" ht="11.25" thickBot="1">
      <c r="A7" s="37">
        <v>37429</v>
      </c>
      <c r="B7" s="8">
        <v>0.8541666666666666</v>
      </c>
      <c r="C7" s="9" t="str">
        <f>'Second round'!L6</f>
        <v>2nd round 3</v>
      </c>
      <c r="D7" s="9"/>
      <c r="E7" s="10"/>
      <c r="F7" s="11"/>
      <c r="G7" s="12"/>
      <c r="H7" s="13" t="str">
        <f>'Second round'!L10</f>
        <v>2nd round 7</v>
      </c>
      <c r="I7" s="40" t="s">
        <v>151</v>
      </c>
      <c r="J7" s="12">
        <v>4</v>
      </c>
      <c r="L7" s="1" t="str">
        <f>IF(M7=1,IF(E7&gt;F7,C7,H7),"QF 4")</f>
        <v>QF 4</v>
      </c>
      <c r="M7" s="2">
        <f>IF(AND(ISNUMBER(E7),ISNUMBER(F7)),1,0)</f>
        <v>0</v>
      </c>
      <c r="AA7" s="1" t="e">
        <f>500+VLOOKUP(C7,TeamToNum,2,FALSE)</f>
        <v>#N/A</v>
      </c>
      <c r="AB7" s="14">
        <f t="shared" si="0"/>
        <v>37429</v>
      </c>
      <c r="AC7" s="3">
        <f t="shared" si="0"/>
        <v>0.8541666666666666</v>
      </c>
      <c r="AD7" s="1" t="str">
        <f t="shared" si="0"/>
        <v>2nd round 3</v>
      </c>
      <c r="AE7" s="2">
        <f>IF(E7="","",E7)</f>
      </c>
      <c r="AF7" s="1" t="str">
        <f>H7</f>
        <v>2nd round 7</v>
      </c>
      <c r="AG7" s="2">
        <f>IF(F7="","",F7)</f>
      </c>
      <c r="AH7" s="1" t="s">
        <v>58</v>
      </c>
      <c r="AI7" s="1" t="e">
        <f>500+VLOOKUP(AL7,TeamToNum,2,FALSE)</f>
        <v>#N/A</v>
      </c>
      <c r="AJ7" s="14">
        <f t="shared" si="1"/>
        <v>37429</v>
      </c>
      <c r="AK7" s="3">
        <f t="shared" si="1"/>
        <v>0.8541666666666666</v>
      </c>
      <c r="AL7" s="1" t="str">
        <f>H7</f>
        <v>2nd round 7</v>
      </c>
      <c r="AM7" s="2">
        <f>IF(F7="","",F7)</f>
      </c>
      <c r="AN7" s="1" t="str">
        <f>C7</f>
        <v>2nd round 3</v>
      </c>
      <c r="AO7" s="2">
        <f>IF(E7="","",E7)</f>
      </c>
      <c r="AP7" s="1" t="s">
        <v>58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5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15" customWidth="1"/>
    <col min="2" max="2" width="4.00390625" style="2" customWidth="1"/>
    <col min="3" max="3" width="8.8515625" style="1" customWidth="1"/>
    <col min="4" max="4" width="0.2890625" style="1" customWidth="1"/>
    <col min="5" max="6" width="2.140625" style="2" customWidth="1"/>
    <col min="7" max="7" width="0.5625" style="2" customWidth="1"/>
    <col min="8" max="8" width="8.8515625" style="1" customWidth="1"/>
    <col min="9" max="9" width="7.8515625" style="1" customWidth="1"/>
    <col min="10" max="10" width="3.7109375" style="2" customWidth="1"/>
    <col min="11" max="11" width="3.7109375" style="1" hidden="1" customWidth="1"/>
    <col min="12" max="12" width="6.7109375" style="1" hidden="1" customWidth="1"/>
    <col min="13" max="14" width="3.00390625" style="2" hidden="1" customWidth="1"/>
    <col min="15" max="18" width="3.7109375" style="2" hidden="1" customWidth="1"/>
    <col min="19" max="19" width="3.7109375" style="1" hidden="1" customWidth="1"/>
    <col min="20" max="25" width="3.7109375" style="2" hidden="1" customWidth="1"/>
    <col min="26" max="26" width="3.7109375" style="1" hidden="1" customWidth="1"/>
    <col min="27" max="27" width="4.140625" style="1" hidden="1" customWidth="1"/>
    <col min="28" max="28" width="5.140625" style="1" hidden="1" customWidth="1"/>
    <col min="29" max="29" width="4.421875" style="3" hidden="1" customWidth="1"/>
    <col min="30" max="30" width="8.28125" style="1" hidden="1" customWidth="1"/>
    <col min="31" max="31" width="2.7109375" style="2" hidden="1" customWidth="1"/>
    <col min="32" max="32" width="5.28125" style="1" hidden="1" customWidth="1"/>
    <col min="33" max="33" width="2.7109375" style="2" hidden="1" customWidth="1"/>
    <col min="34" max="34" width="6.8515625" style="1" hidden="1" customWidth="1"/>
    <col min="35" max="36" width="5.28125" style="1" hidden="1" customWidth="1"/>
    <col min="37" max="37" width="3.8515625" style="3" hidden="1" customWidth="1"/>
    <col min="38" max="38" width="7.8515625" style="1" hidden="1" customWidth="1"/>
    <col min="39" max="39" width="2.7109375" style="2" hidden="1" customWidth="1"/>
    <col min="40" max="40" width="5.28125" style="1" hidden="1" customWidth="1"/>
    <col min="41" max="41" width="2.7109375" style="2" hidden="1" customWidth="1"/>
    <col min="42" max="42" width="10.7109375" style="1" hidden="1" customWidth="1"/>
    <col min="43" max="16384" width="9.140625" style="1" customWidth="1"/>
  </cols>
  <sheetData>
    <row r="1" spans="1:10" ht="10.5">
      <c r="A1" s="48" t="s">
        <v>139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0.5">
      <c r="A2" s="38" t="s">
        <v>129</v>
      </c>
      <c r="B2" s="39" t="s">
        <v>127</v>
      </c>
      <c r="C2" s="5"/>
      <c r="D2" s="5"/>
      <c r="E2" s="5"/>
      <c r="F2" s="5"/>
      <c r="G2" s="5"/>
      <c r="H2" s="5"/>
      <c r="I2" s="5" t="s">
        <v>3</v>
      </c>
      <c r="J2" s="5"/>
    </row>
    <row r="3" spans="1:10" ht="10.5" thickBo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42" ht="11.25" thickBot="1">
      <c r="A4" s="37">
        <v>37432</v>
      </c>
      <c r="B4" s="8">
        <v>0.8541666666666666</v>
      </c>
      <c r="C4" s="9" t="str">
        <f>'Quarter finals'!L5</f>
        <v>QF 2</v>
      </c>
      <c r="D4" s="9"/>
      <c r="E4" s="10"/>
      <c r="F4" s="11"/>
      <c r="G4" s="12"/>
      <c r="H4" s="13" t="str">
        <f>'Quarter finals'!L6</f>
        <v>QF 3</v>
      </c>
      <c r="I4" s="40" t="s">
        <v>131</v>
      </c>
      <c r="J4" s="12">
        <v>1</v>
      </c>
      <c r="L4" s="1" t="str">
        <f>IF(M4=1,IF(E4&gt;F4,C4,H4),"Winner SF1")</f>
        <v>Winner SF1</v>
      </c>
      <c r="M4" s="2">
        <f>IF(AND(ISNUMBER(E4),ISNUMBER(F4)),1,0)</f>
        <v>0</v>
      </c>
      <c r="N4" s="2" t="str">
        <f>IF(M4=1,IF(E4&lt;F4,C4,H4),"Loser SF1")</f>
        <v>Loser SF1</v>
      </c>
      <c r="AA4" s="1" t="e">
        <f>600+VLOOKUP(C4,TeamToNum,2,FALSE)</f>
        <v>#N/A</v>
      </c>
      <c r="AB4" s="14">
        <f aca="true" t="shared" si="0" ref="AB4:AD5">A4</f>
        <v>37432</v>
      </c>
      <c r="AC4" s="3">
        <f t="shared" si="0"/>
        <v>0.8541666666666666</v>
      </c>
      <c r="AD4" s="1" t="str">
        <f t="shared" si="0"/>
        <v>QF 2</v>
      </c>
      <c r="AE4" s="2">
        <f>IF(E4="","",E4)</f>
      </c>
      <c r="AF4" s="1" t="str">
        <f>H4</f>
        <v>QF 3</v>
      </c>
      <c r="AG4" s="2">
        <f>IF(F4="","",F4)</f>
      </c>
      <c r="AH4" s="1" t="s">
        <v>59</v>
      </c>
      <c r="AI4" s="1" t="e">
        <f>600+VLOOKUP(AL4,TeamToNum,2,FALSE)</f>
        <v>#N/A</v>
      </c>
      <c r="AJ4" s="14">
        <f>A4</f>
        <v>37432</v>
      </c>
      <c r="AK4" s="3">
        <f>B4</f>
        <v>0.8541666666666666</v>
      </c>
      <c r="AL4" s="1" t="str">
        <f>H4</f>
        <v>QF 3</v>
      </c>
      <c r="AM4" s="2">
        <f>IF(F4="","",F4)</f>
      </c>
      <c r="AN4" s="1" t="str">
        <f>C4</f>
        <v>QF 2</v>
      </c>
      <c r="AO4" s="2">
        <f>IF(E4="","",E4)</f>
      </c>
      <c r="AP4" s="1" t="s">
        <v>59</v>
      </c>
    </row>
    <row r="5" spans="1:42" ht="11.25" thickBot="1">
      <c r="A5" s="37">
        <v>37433</v>
      </c>
      <c r="B5" s="8">
        <v>0.8541666666666666</v>
      </c>
      <c r="C5" s="9" t="str">
        <f>'Quarter finals'!L4</f>
        <v>QF 1</v>
      </c>
      <c r="D5" s="9"/>
      <c r="E5" s="10"/>
      <c r="F5" s="11"/>
      <c r="G5" s="12"/>
      <c r="H5" s="13" t="str">
        <f>'Quarter finals'!L7</f>
        <v>QF 4</v>
      </c>
      <c r="I5" s="40" t="s">
        <v>132</v>
      </c>
      <c r="J5" s="12">
        <v>2</v>
      </c>
      <c r="L5" s="1" t="str">
        <f>IF(M5=1,IF(E5&gt;F5,C5,H5),"Winner SF2")</f>
        <v>Winner SF2</v>
      </c>
      <c r="M5" s="2">
        <f>IF(AND(ISNUMBER(E5),ISNUMBER(F5)),1,0)</f>
        <v>0</v>
      </c>
      <c r="N5" s="2" t="str">
        <f>IF(M5=1,IF(E5&lt;F5,C5,H5),"Loser SF2")</f>
        <v>Loser SF2</v>
      </c>
      <c r="AA5" s="1" t="e">
        <f>600+VLOOKUP(C5,TeamToNum,2,FALSE)</f>
        <v>#N/A</v>
      </c>
      <c r="AB5" s="14">
        <f t="shared" si="0"/>
        <v>37433</v>
      </c>
      <c r="AC5" s="3">
        <f t="shared" si="0"/>
        <v>0.8541666666666666</v>
      </c>
      <c r="AD5" s="1" t="str">
        <f t="shared" si="0"/>
        <v>QF 1</v>
      </c>
      <c r="AE5" s="2">
        <f>IF(E5="","",E5)</f>
      </c>
      <c r="AF5" s="1" t="str">
        <f>H5</f>
        <v>QF 4</v>
      </c>
      <c r="AG5" s="2">
        <f>IF(F5="","",F5)</f>
      </c>
      <c r="AH5" s="1" t="s">
        <v>59</v>
      </c>
      <c r="AI5" s="1" t="e">
        <f>600+VLOOKUP(AL5,TeamToNum,2,FALSE)</f>
        <v>#N/A</v>
      </c>
      <c r="AJ5" s="14">
        <f>A5</f>
        <v>37433</v>
      </c>
      <c r="AK5" s="3">
        <f>B5</f>
        <v>0.8541666666666666</v>
      </c>
      <c r="AL5" s="1" t="str">
        <f>H5</f>
        <v>QF 4</v>
      </c>
      <c r="AM5" s="2">
        <f>IF(F5="","",F5)</f>
      </c>
      <c r="AN5" s="1" t="str">
        <f>C5</f>
        <v>QF 1</v>
      </c>
      <c r="AO5" s="2">
        <f>IF(E5="","",E5)</f>
      </c>
      <c r="AP5" s="1" t="s">
        <v>59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P12"/>
  <sheetViews>
    <sheetView workbookViewId="0" topLeftCell="A1">
      <selection activeCell="J42" sqref="J42"/>
    </sheetView>
  </sheetViews>
  <sheetFormatPr defaultColWidth="9.140625" defaultRowHeight="12.75"/>
  <cols>
    <col min="1" max="1" width="5.57421875" style="15" customWidth="1"/>
    <col min="2" max="2" width="4.28125" style="2" customWidth="1"/>
    <col min="3" max="3" width="8.8515625" style="1" customWidth="1"/>
    <col min="4" max="4" width="0.2890625" style="1" customWidth="1"/>
    <col min="5" max="6" width="2.140625" style="2" customWidth="1"/>
    <col min="7" max="7" width="0.5625" style="2" customWidth="1"/>
    <col min="8" max="8" width="8.8515625" style="1" customWidth="1"/>
    <col min="9" max="9" width="7.8515625" style="1" customWidth="1"/>
    <col min="10" max="10" width="3.7109375" style="2" customWidth="1"/>
    <col min="11" max="11" width="3.7109375" style="1" hidden="1" customWidth="1"/>
    <col min="12" max="12" width="6.7109375" style="1" hidden="1" customWidth="1"/>
    <col min="13" max="14" width="3.00390625" style="2" hidden="1" customWidth="1"/>
    <col min="15" max="18" width="3.7109375" style="2" hidden="1" customWidth="1"/>
    <col min="19" max="19" width="3.7109375" style="1" hidden="1" customWidth="1"/>
    <col min="20" max="25" width="3.7109375" style="2" hidden="1" customWidth="1"/>
    <col min="26" max="26" width="3.7109375" style="1" hidden="1" customWidth="1"/>
    <col min="27" max="27" width="4.140625" style="1" hidden="1" customWidth="1"/>
    <col min="28" max="28" width="5.140625" style="1" hidden="1" customWidth="1"/>
    <col min="29" max="29" width="4.421875" style="3" hidden="1" customWidth="1"/>
    <col min="30" max="30" width="8.28125" style="1" hidden="1" customWidth="1"/>
    <col min="31" max="31" width="2.7109375" style="2" hidden="1" customWidth="1"/>
    <col min="32" max="32" width="5.28125" style="1" hidden="1" customWidth="1"/>
    <col min="33" max="33" width="2.7109375" style="2" hidden="1" customWidth="1"/>
    <col min="34" max="34" width="6.8515625" style="1" hidden="1" customWidth="1"/>
    <col min="35" max="36" width="5.28125" style="1" hidden="1" customWidth="1"/>
    <col min="37" max="37" width="3.8515625" style="3" hidden="1" customWidth="1"/>
    <col min="38" max="38" width="7.8515625" style="1" hidden="1" customWidth="1"/>
    <col min="39" max="39" width="2.7109375" style="2" hidden="1" customWidth="1"/>
    <col min="40" max="40" width="5.28125" style="1" hidden="1" customWidth="1"/>
    <col min="41" max="41" width="2.7109375" style="2" hidden="1" customWidth="1"/>
    <col min="42" max="42" width="10.7109375" style="1" hidden="1" customWidth="1"/>
    <col min="43" max="16384" width="9.140625" style="1" customWidth="1"/>
  </cols>
  <sheetData>
    <row r="1" spans="1:10" ht="10.5">
      <c r="A1" s="47" t="s">
        <v>134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0.5">
      <c r="A2" s="38" t="s">
        <v>129</v>
      </c>
      <c r="B2" s="39" t="s">
        <v>127</v>
      </c>
      <c r="C2" s="5"/>
      <c r="D2" s="5"/>
      <c r="E2" s="5"/>
      <c r="F2" s="5"/>
      <c r="G2" s="5"/>
      <c r="H2" s="5"/>
      <c r="I2" s="39" t="s">
        <v>128</v>
      </c>
      <c r="J2" s="5"/>
    </row>
    <row r="3" spans="1:10" ht="10.5" thickBo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42" ht="11.25" thickBot="1">
      <c r="A4" s="37">
        <v>37436</v>
      </c>
      <c r="B4" s="8">
        <v>0.8333333333333334</v>
      </c>
      <c r="C4" s="9" t="str">
        <f>'Semi finals'!N4</f>
        <v>Loser SF1</v>
      </c>
      <c r="D4" s="9"/>
      <c r="E4" s="10"/>
      <c r="F4" s="11"/>
      <c r="G4" s="12"/>
      <c r="H4" s="13" t="str">
        <f>'Semi finals'!N5</f>
        <v>Loser SF2</v>
      </c>
      <c r="I4" s="40" t="s">
        <v>133</v>
      </c>
      <c r="J4" s="12"/>
      <c r="AA4" s="1" t="e">
        <f>700+VLOOKUP(C4,TeamToNum,2,FALSE)</f>
        <v>#N/A</v>
      </c>
      <c r="AB4" s="14">
        <f>A4</f>
        <v>37436</v>
      </c>
      <c r="AC4" s="3">
        <f>B4</f>
        <v>0.8333333333333334</v>
      </c>
      <c r="AD4" s="1" t="str">
        <f>C4</f>
        <v>Loser SF1</v>
      </c>
      <c r="AE4" s="2">
        <f>IF(E4="","",E4)</f>
      </c>
      <c r="AF4" s="1" t="str">
        <f>H4</f>
        <v>Loser SF2</v>
      </c>
      <c r="AG4" s="2">
        <f>IF(F4="","",F4)</f>
      </c>
      <c r="AH4" s="1" t="s">
        <v>60</v>
      </c>
      <c r="AI4" s="1" t="e">
        <f>700+VLOOKUP(AL4,TeamToNum,2,FALSE)</f>
        <v>#N/A</v>
      </c>
      <c r="AJ4" s="14">
        <f>A4</f>
        <v>37436</v>
      </c>
      <c r="AK4" s="3">
        <f>B4</f>
        <v>0.8333333333333334</v>
      </c>
      <c r="AL4" s="1" t="str">
        <f>H4</f>
        <v>Loser SF2</v>
      </c>
      <c r="AM4" s="2">
        <f>IF(F4="","",F4)</f>
      </c>
      <c r="AN4" s="1" t="str">
        <f>C4</f>
        <v>Loser SF1</v>
      </c>
      <c r="AO4" s="2">
        <f>IF(E4="","",E4)</f>
      </c>
      <c r="AP4" s="1" t="s">
        <v>60</v>
      </c>
    </row>
    <row r="7" spans="1:10" ht="10.5">
      <c r="A7" s="48" t="s">
        <v>136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0.5">
      <c r="A8" s="4" t="s">
        <v>1</v>
      </c>
      <c r="B8" s="5" t="s">
        <v>2</v>
      </c>
      <c r="C8" s="5"/>
      <c r="D8" s="5"/>
      <c r="E8" s="5"/>
      <c r="F8" s="5"/>
      <c r="G8" s="5"/>
      <c r="H8" s="5"/>
      <c r="I8" s="39" t="s">
        <v>128</v>
      </c>
      <c r="J8" s="5"/>
    </row>
    <row r="9" ht="10.5" thickBot="1"/>
    <row r="10" spans="1:42" ht="11.25" thickBot="1">
      <c r="A10" s="37">
        <v>37437</v>
      </c>
      <c r="B10" s="8">
        <v>0.8333333333333334</v>
      </c>
      <c r="C10" s="9" t="str">
        <f>'Semi finals'!L4</f>
        <v>Winner SF1</v>
      </c>
      <c r="D10" s="9"/>
      <c r="E10" s="10"/>
      <c r="F10" s="11"/>
      <c r="G10" s="12"/>
      <c r="H10" s="13" t="str">
        <f>'Semi finals'!L5</f>
        <v>Winner SF2</v>
      </c>
      <c r="I10" s="40" t="s">
        <v>135</v>
      </c>
      <c r="J10" s="12"/>
      <c r="L10" s="1">
        <f>IF(M10=1,IF(E10&gt;F10,C10,H10),"")</f>
      </c>
      <c r="M10" s="2">
        <f>IF(AND(ISNUMBER(E10),ISNUMBER(F10)),1,0)</f>
        <v>0</v>
      </c>
      <c r="AA10" s="1" t="e">
        <f>700+VLOOKUP(C10,TeamToNum,2,FALSE)</f>
        <v>#N/A</v>
      </c>
      <c r="AB10" s="14">
        <f>A10</f>
        <v>37437</v>
      </c>
      <c r="AC10" s="3">
        <f>B10</f>
        <v>0.8333333333333334</v>
      </c>
      <c r="AD10" s="1" t="str">
        <f>C10</f>
        <v>Winner SF1</v>
      </c>
      <c r="AE10" s="2">
        <f>IF(E10="","",E10)</f>
      </c>
      <c r="AF10" s="1" t="str">
        <f>H10</f>
        <v>Winner SF2</v>
      </c>
      <c r="AG10" s="2">
        <f>IF(F10="","",F10)</f>
      </c>
      <c r="AH10" s="1" t="s">
        <v>61</v>
      </c>
      <c r="AI10" s="1" t="e">
        <f>700+VLOOKUP(AL10,TeamToNum,2,FALSE)</f>
        <v>#N/A</v>
      </c>
      <c r="AJ10" s="14">
        <f>A10</f>
        <v>37437</v>
      </c>
      <c r="AK10" s="3">
        <f>B10</f>
        <v>0.8333333333333334</v>
      </c>
      <c r="AL10" s="1" t="str">
        <f>H10</f>
        <v>Winner SF2</v>
      </c>
      <c r="AM10" s="2">
        <f>IF(F10="","",F10)</f>
      </c>
      <c r="AN10" s="1" t="str">
        <f>C10</f>
        <v>Winner SF1</v>
      </c>
      <c r="AO10" s="2">
        <f>IF(E10="","",E10)</f>
      </c>
      <c r="AP10" s="1" t="s">
        <v>61</v>
      </c>
    </row>
    <row r="12" spans="1:8" ht="15.75">
      <c r="A12" s="28" t="s">
        <v>62</v>
      </c>
      <c r="C12" s="29">
        <f>L10</f>
      </c>
      <c r="D12" s="30"/>
      <c r="E12" s="31"/>
      <c r="H12" s="32"/>
    </row>
  </sheetData>
  <mergeCells count="2">
    <mergeCell ref="A7:J7"/>
    <mergeCell ref="A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Q61"/>
  <sheetViews>
    <sheetView workbookViewId="0" topLeftCell="A1">
      <selection activeCell="A8" sqref="A8"/>
    </sheetView>
  </sheetViews>
  <sheetFormatPr defaultColWidth="9.140625" defaultRowHeight="12.75"/>
  <cols>
    <col min="1" max="1" width="32.7109375" style="27" customWidth="1"/>
    <col min="2" max="2" width="1.8515625" style="27" hidden="1" customWidth="1"/>
    <col min="3" max="3" width="9.7109375" style="27" hidden="1" customWidth="1"/>
    <col min="4" max="9" width="2.57421875" style="27" hidden="1" customWidth="1"/>
    <col min="10" max="10" width="3.421875" style="22" hidden="1" customWidth="1"/>
    <col min="11" max="11" width="3.140625" style="22" hidden="1" customWidth="1"/>
    <col min="12" max="12" width="7.00390625" style="22" hidden="1" customWidth="1"/>
    <col min="13" max="13" width="1.8515625" style="22" hidden="1" customWidth="1"/>
    <col min="14" max="15" width="8.421875" style="22" hidden="1" customWidth="1"/>
    <col min="16" max="20" width="0" style="22" hidden="1" customWidth="1"/>
    <col min="21" max="16384" width="9.140625" style="22" customWidth="1"/>
  </cols>
  <sheetData>
    <row r="1" spans="3:17" ht="11.25">
      <c r="C1" s="22" t="s">
        <v>63</v>
      </c>
      <c r="D1" s="27">
        <v>3</v>
      </c>
      <c r="O1" s="22">
        <v>1</v>
      </c>
      <c r="P1" s="22" t="s">
        <v>24</v>
      </c>
      <c r="Q1" s="22">
        <v>1</v>
      </c>
    </row>
    <row r="2" spans="3:17" ht="11.25">
      <c r="C2" s="22" t="s">
        <v>64</v>
      </c>
      <c r="D2" s="27">
        <v>1</v>
      </c>
      <c r="O2" s="22">
        <v>2</v>
      </c>
      <c r="P2" s="22" t="s">
        <v>39</v>
      </c>
      <c r="Q2" s="22">
        <v>2</v>
      </c>
    </row>
    <row r="3" spans="1:17" s="16" customFormat="1" ht="18" customHeight="1">
      <c r="A3" s="36" t="s">
        <v>65</v>
      </c>
      <c r="B3" s="33"/>
      <c r="C3" s="33"/>
      <c r="D3" s="33"/>
      <c r="E3" s="33"/>
      <c r="F3" s="33"/>
      <c r="G3" s="33"/>
      <c r="H3" s="33"/>
      <c r="I3" s="33"/>
      <c r="O3" s="16">
        <v>3</v>
      </c>
      <c r="P3" s="16" t="s">
        <v>31</v>
      </c>
      <c r="Q3" s="16">
        <v>3</v>
      </c>
    </row>
    <row r="4" spans="15:17" ht="11.25">
      <c r="O4" s="22">
        <v>4</v>
      </c>
      <c r="P4" s="22" t="s">
        <v>13</v>
      </c>
      <c r="Q4" s="22">
        <v>4</v>
      </c>
    </row>
    <row r="5" spans="1:17" ht="11.25">
      <c r="A5" s="27" t="s">
        <v>66</v>
      </c>
      <c r="C5" s="22" t="s">
        <v>67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48</v>
      </c>
      <c r="K5" s="27" t="s">
        <v>49</v>
      </c>
      <c r="O5" s="22">
        <v>5</v>
      </c>
      <c r="P5" s="22" t="s">
        <v>36</v>
      </c>
      <c r="Q5" s="22">
        <v>5</v>
      </c>
    </row>
    <row r="6" spans="1:17" ht="12.75">
      <c r="A6" s="34" t="s">
        <v>68</v>
      </c>
      <c r="C6" s="22"/>
      <c r="J6" s="27"/>
      <c r="O6" s="22">
        <v>6</v>
      </c>
      <c r="P6" s="22" t="s">
        <v>37</v>
      </c>
      <c r="Q6" s="22">
        <v>6</v>
      </c>
    </row>
    <row r="7" spans="2:17" ht="11.25">
      <c r="B7" s="27">
        <f>M7</f>
        <v>4</v>
      </c>
      <c r="C7" s="22" t="s">
        <v>10</v>
      </c>
      <c r="D7" s="27">
        <f>SUMIF(Team1,$C7,Pld1)+SUMIF(Team2,$C7,Pld2)</f>
        <v>2</v>
      </c>
      <c r="E7" s="27">
        <f>SUMIF(Team1,$C7,Won1)+SUMIF(Team2,$C7,Won2)</f>
        <v>0</v>
      </c>
      <c r="F7" s="27">
        <f>SUMIF(Team1,$C7,Drawn1)+SUMIF(Team2,$C7,Drawn2)</f>
        <v>1</v>
      </c>
      <c r="G7" s="27">
        <f>SUMIF(Team1,$C7,Lost1)+SUMIF(Team2,$C7,Lost2)</f>
        <v>1</v>
      </c>
      <c r="H7" s="27">
        <f>SUMIF(Team1,$C7,For1)+SUMIF(Team2,$C7,For2)</f>
        <v>0</v>
      </c>
      <c r="I7" s="27">
        <f>SUMIF(Team1,$C7,Against1)+SUMIF(Team2,$C7,Against2)</f>
        <v>1</v>
      </c>
      <c r="J7" s="27">
        <f>H7-I7</f>
        <v>-1</v>
      </c>
      <c r="K7" s="27">
        <f>E7*$D$1+F7*$D$2</f>
        <v>1</v>
      </c>
      <c r="L7" s="22">
        <f>1000000*K7+10000*J7+100*H7+4</f>
        <v>990004</v>
      </c>
      <c r="M7" s="22">
        <f>4-(IF(L7&gt;L8,1,0)+IF(L7&gt;L11,1,0)+IF(L7&gt;L12,1,0))</f>
        <v>4</v>
      </c>
      <c r="O7" s="22">
        <v>7</v>
      </c>
      <c r="P7" s="22" t="s">
        <v>28</v>
      </c>
      <c r="Q7" s="22">
        <v>7</v>
      </c>
    </row>
    <row r="8" spans="1:17" ht="11.25">
      <c r="A8" s="35" t="s">
        <v>79</v>
      </c>
      <c r="B8" s="27">
        <f>M8</f>
        <v>2</v>
      </c>
      <c r="C8" s="22" t="s">
        <v>11</v>
      </c>
      <c r="D8" s="27">
        <f>SUMIF(Team1,$C8,Pld1)+SUMIF(Team2,$C8,Pld2)</f>
        <v>2</v>
      </c>
      <c r="E8" s="27">
        <f>SUMIF(Team1,$C8,Won1)+SUMIF(Team2,$C8,Won2)</f>
        <v>1</v>
      </c>
      <c r="F8" s="27">
        <f>SUMIF(Team1,$C8,Drawn1)+SUMIF(Team2,$C8,Drawn2)</f>
        <v>1</v>
      </c>
      <c r="G8" s="27">
        <f>SUMIF(Team1,$C8,Lost1)+SUMIF(Team2,$C8,Lost2)</f>
        <v>0</v>
      </c>
      <c r="H8" s="27">
        <f>SUMIF(Team1,$C8,For1)+SUMIF(Team2,$C8,For2)</f>
        <v>2</v>
      </c>
      <c r="I8" s="27">
        <f>SUMIF(Team1,$C8,Against1)+SUMIF(Team2,$C8,Against2)</f>
        <v>1</v>
      </c>
      <c r="J8" s="27">
        <f>H8-I8</f>
        <v>1</v>
      </c>
      <c r="K8" s="27">
        <f>E8*$D$1+F8*$D$2</f>
        <v>4</v>
      </c>
      <c r="L8" s="22">
        <f>1000000*K8+10000*J8+100*H8+3</f>
        <v>4010203</v>
      </c>
      <c r="M8" s="22">
        <f>4-(IF(L8&gt;L7,1,0)+IF(L8&gt;L11,1,0)+IF(L8&gt;L12,1,0))</f>
        <v>2</v>
      </c>
      <c r="O8" s="22">
        <v>8</v>
      </c>
      <c r="P8" s="22" t="s">
        <v>16</v>
      </c>
      <c r="Q8" s="22">
        <v>8</v>
      </c>
    </row>
    <row r="9" spans="1:11" ht="11.25">
      <c r="A9" s="35" t="s">
        <v>78</v>
      </c>
      <c r="C9" s="22"/>
      <c r="J9" s="27"/>
      <c r="K9" s="27"/>
    </row>
    <row r="10" spans="3:11" ht="11.25">
      <c r="C10" s="22"/>
      <c r="J10" s="27"/>
      <c r="K10" s="27"/>
    </row>
    <row r="11" spans="1:17" ht="11.25">
      <c r="A11" s="35" t="s">
        <v>69</v>
      </c>
      <c r="B11" s="27">
        <f>M11</f>
        <v>3</v>
      </c>
      <c r="C11" s="22" t="s">
        <v>15</v>
      </c>
      <c r="D11" s="27">
        <f>SUMIF(Team1,$C11,Pld1)+SUMIF(Team2,$C11,Pld2)</f>
        <v>2</v>
      </c>
      <c r="E11" s="27">
        <f>SUMIF(Team1,$C11,Won1)+SUMIF(Team2,$C11,Won2)</f>
        <v>0</v>
      </c>
      <c r="F11" s="27">
        <f>SUMIF(Team1,$C11,Drawn1)+SUMIF(Team2,$C11,Drawn2)</f>
        <v>1</v>
      </c>
      <c r="G11" s="27">
        <f>SUMIF(Team1,$C11,Lost1)+SUMIF(Team2,$C11,Lost2)</f>
        <v>1</v>
      </c>
      <c r="H11" s="27">
        <f>SUMIF(Team1,$C11,For1)+SUMIF(Team2,$C11,For2)</f>
        <v>1</v>
      </c>
      <c r="I11" s="27">
        <f>SUMIF(Team1,$C11,Against1)+SUMIF(Team2,$C11,Against2)</f>
        <v>2</v>
      </c>
      <c r="J11" s="27">
        <f>H11-I11</f>
        <v>-1</v>
      </c>
      <c r="K11" s="27">
        <f>E11*$D$1+F11*$D$2</f>
        <v>1</v>
      </c>
      <c r="L11" s="22">
        <f>1000000*K11+10000*J11+100*H11+2</f>
        <v>990102</v>
      </c>
      <c r="M11" s="22">
        <f>4-(IF(L11&gt;L7,1,0)+IF(L11&gt;L8,1,0)+IF(L11&gt;L12,1,0))</f>
        <v>3</v>
      </c>
      <c r="O11" s="22">
        <v>9</v>
      </c>
      <c r="P11" s="22" t="s">
        <v>35</v>
      </c>
      <c r="Q11" s="22">
        <v>9</v>
      </c>
    </row>
    <row r="12" spans="1:17" ht="11.25">
      <c r="A12" s="35" t="s">
        <v>70</v>
      </c>
      <c r="B12" s="27">
        <f>M12</f>
        <v>1</v>
      </c>
      <c r="C12" s="22" t="s">
        <v>16</v>
      </c>
      <c r="D12" s="27">
        <f>SUMIF(Team1,$C12,Pld1)+SUMIF(Team2,$C12,Pld2)</f>
        <v>2</v>
      </c>
      <c r="E12" s="27">
        <f>SUMIF(Team1,$C12,Won1)+SUMIF(Team2,$C12,Won2)</f>
        <v>1</v>
      </c>
      <c r="F12" s="27">
        <f>SUMIF(Team1,$C12,Drawn1)+SUMIF(Team2,$C12,Drawn2)</f>
        <v>1</v>
      </c>
      <c r="G12" s="27">
        <f>SUMIF(Team1,$C12,Lost1)+SUMIF(Team2,$C12,Lost2)</f>
        <v>0</v>
      </c>
      <c r="H12" s="27">
        <f>SUMIF(Team1,$C12,For1)+SUMIF(Team2,$C12,For2)</f>
        <v>3</v>
      </c>
      <c r="I12" s="27">
        <f>SUMIF(Team1,$C12,Against1)+SUMIF(Team2,$C12,Against2)</f>
        <v>2</v>
      </c>
      <c r="J12" s="27">
        <f>H12-I12</f>
        <v>1</v>
      </c>
      <c r="K12" s="27">
        <f>E12*$D$1+F12*$D$2</f>
        <v>4</v>
      </c>
      <c r="L12" s="22">
        <f>1000000*K12+10000*J12+100*H12+1</f>
        <v>4010301</v>
      </c>
      <c r="M12" s="22">
        <f>4-(IF(L12&gt;L7,1,0)+IF(L12&gt;L8,1,0)+IF(L12&gt;L11,1,0))</f>
        <v>1</v>
      </c>
      <c r="O12" s="22">
        <v>10</v>
      </c>
      <c r="P12" s="22" t="s">
        <v>19</v>
      </c>
      <c r="Q12" s="22">
        <v>10</v>
      </c>
    </row>
    <row r="13" spans="3:17" ht="11.25">
      <c r="C13" s="22"/>
      <c r="J13" s="27"/>
      <c r="O13" s="22">
        <v>11</v>
      </c>
      <c r="P13" s="22" t="s">
        <v>10</v>
      </c>
      <c r="Q13" s="22">
        <v>11</v>
      </c>
    </row>
    <row r="14" spans="3:17" ht="11.25">
      <c r="C14" s="22" t="s">
        <v>71</v>
      </c>
      <c r="J14" s="27"/>
      <c r="O14" s="22">
        <v>12</v>
      </c>
      <c r="P14" s="22" t="s">
        <v>17</v>
      </c>
      <c r="Q14" s="22">
        <v>12</v>
      </c>
    </row>
    <row r="15" spans="3:17" ht="11.25">
      <c r="C15" s="22"/>
      <c r="J15" s="27"/>
      <c r="O15" s="22">
        <v>13</v>
      </c>
      <c r="P15" s="22" t="s">
        <v>12</v>
      </c>
      <c r="Q15" s="22">
        <v>13</v>
      </c>
    </row>
    <row r="16" spans="2:17" ht="11.25">
      <c r="B16" s="27">
        <f>M16</f>
        <v>1</v>
      </c>
      <c r="C16" s="22" t="s">
        <v>26</v>
      </c>
      <c r="D16" s="27">
        <f>SUMIF(Team1,$C16,Pld1)+SUMIF(Team2,$C16,Pld2)</f>
        <v>2</v>
      </c>
      <c r="E16" s="27">
        <f>SUMIF(Team1,$C16,Won1)+SUMIF(Team2,$C16,Won2)</f>
        <v>2</v>
      </c>
      <c r="F16" s="27">
        <f>SUMIF(Team1,$C16,Drawn1)+SUMIF(Team2,$C16,Drawn2)</f>
        <v>0</v>
      </c>
      <c r="G16" s="27">
        <f>SUMIF(Team1,$C16,Lost1)+SUMIF(Team2,$C16,Lost2)</f>
        <v>0</v>
      </c>
      <c r="H16" s="27">
        <f>SUMIF(Team1,$C16,For1)+SUMIF(Team2,$C16,For2)</f>
        <v>6</v>
      </c>
      <c r="I16" s="27">
        <f>SUMIF(Team1,$C16,Against1)+SUMIF(Team2,$C16,Against2)</f>
        <v>2</v>
      </c>
      <c r="J16" s="27">
        <f>H16-I16</f>
        <v>4</v>
      </c>
      <c r="K16" s="27">
        <f>E16*$D$1+F16*$D$2</f>
        <v>6</v>
      </c>
      <c r="L16" s="22">
        <f>1000000*K16+10000*J16+100*H16+4</f>
        <v>6040604</v>
      </c>
      <c r="M16" s="22">
        <f>4-(IF(L16&gt;L17,1,0)+IF(L16&gt;L18,1,0)+IF(L16&gt;L19,1,0))</f>
        <v>1</v>
      </c>
      <c r="O16" s="22">
        <v>14</v>
      </c>
      <c r="P16" s="22" t="s">
        <v>34</v>
      </c>
      <c r="Q16" s="22">
        <v>14</v>
      </c>
    </row>
    <row r="17" spans="2:17" ht="11.25">
      <c r="B17" s="27">
        <f>M17</f>
        <v>4</v>
      </c>
      <c r="C17" s="22" t="s">
        <v>27</v>
      </c>
      <c r="D17" s="27">
        <f>SUMIF(Team1,$C17,Pld1)+SUMIF(Team2,$C17,Pld2)</f>
        <v>2</v>
      </c>
      <c r="E17" s="27">
        <f>SUMIF(Team1,$C17,Won1)+SUMIF(Team2,$C17,Won2)</f>
        <v>0</v>
      </c>
      <c r="F17" s="27">
        <f>SUMIF(Team1,$C17,Drawn1)+SUMIF(Team2,$C17,Drawn2)</f>
        <v>0</v>
      </c>
      <c r="G17" s="27">
        <f>SUMIF(Team1,$C17,Lost1)+SUMIF(Team2,$C17,Lost2)</f>
        <v>2</v>
      </c>
      <c r="H17" s="27">
        <f>SUMIF(Team1,$C17,For1)+SUMIF(Team2,$C17,For2)</f>
        <v>1</v>
      </c>
      <c r="I17" s="27">
        <f>SUMIF(Team1,$C17,Against1)+SUMIF(Team2,$C17,Against2)</f>
        <v>4</v>
      </c>
      <c r="J17" s="27">
        <f>H17-I17</f>
        <v>-3</v>
      </c>
      <c r="K17" s="27">
        <f>E17*$D$1+F17*$D$2</f>
        <v>0</v>
      </c>
      <c r="L17" s="22">
        <f>1000000*K17+10000*J17+100*H17+3</f>
        <v>-29897</v>
      </c>
      <c r="M17" s="22">
        <f>4-(IF(L17&gt;L16,1,0)+IF(L17&gt;L18,1,0)+IF(L17&gt;L19,1,0))</f>
        <v>4</v>
      </c>
      <c r="O17" s="22">
        <v>15</v>
      </c>
      <c r="P17" s="22" t="s">
        <v>38</v>
      </c>
      <c r="Q17" s="22">
        <v>15</v>
      </c>
    </row>
    <row r="18" spans="2:17" ht="11.25">
      <c r="B18" s="27">
        <f>M18</f>
        <v>3</v>
      </c>
      <c r="C18" s="22" t="s">
        <v>21</v>
      </c>
      <c r="D18" s="27">
        <f>SUMIF(Team1,$C18,Pld1)+SUMIF(Team2,$C18,Pld2)</f>
        <v>2</v>
      </c>
      <c r="E18" s="27">
        <f>SUMIF(Team1,$C18,Won1)+SUMIF(Team2,$C18,Won2)</f>
        <v>0</v>
      </c>
      <c r="F18" s="27">
        <f>SUMIF(Team1,$C18,Drawn1)+SUMIF(Team2,$C18,Drawn2)</f>
        <v>1</v>
      </c>
      <c r="G18" s="27">
        <f>SUMIF(Team1,$C18,Lost1)+SUMIF(Team2,$C18,Lost2)</f>
        <v>1</v>
      </c>
      <c r="H18" s="27">
        <f>SUMIF(Team1,$C18,For1)+SUMIF(Team2,$C18,For2)</f>
        <v>3</v>
      </c>
      <c r="I18" s="27">
        <f>SUMIF(Team1,$C18,Against1)+SUMIF(Team2,$C18,Against2)</f>
        <v>5</v>
      </c>
      <c r="J18" s="27">
        <f>H18-I18</f>
        <v>-2</v>
      </c>
      <c r="K18" s="27">
        <f>E18*$D$1+F18*$D$2</f>
        <v>1</v>
      </c>
      <c r="L18" s="22">
        <f>1000000*K18+10000*J18+100*H18+2</f>
        <v>980302</v>
      </c>
      <c r="M18" s="22">
        <f>4-(IF(L18&gt;L16,1,0)+IF(L18&gt;L17,1,0)+IF(L18&gt;L19,1,0))</f>
        <v>3</v>
      </c>
      <c r="O18" s="22">
        <v>16</v>
      </c>
      <c r="P18" s="22" t="s">
        <v>29</v>
      </c>
      <c r="Q18" s="22">
        <v>16</v>
      </c>
    </row>
    <row r="19" spans="2:17" ht="11.25">
      <c r="B19" s="27">
        <f>M19</f>
        <v>2</v>
      </c>
      <c r="C19" s="22" t="s">
        <v>22</v>
      </c>
      <c r="D19" s="27">
        <f>SUMIF(Team1,$C19,Pld1)+SUMIF(Team2,$C19,Pld2)</f>
        <v>2</v>
      </c>
      <c r="E19" s="27">
        <f>SUMIF(Team1,$C19,Won1)+SUMIF(Team2,$C19,Won2)</f>
        <v>1</v>
      </c>
      <c r="F19" s="27">
        <f>SUMIF(Team1,$C19,Drawn1)+SUMIF(Team2,$C19,Drawn2)</f>
        <v>1</v>
      </c>
      <c r="G19" s="27">
        <f>SUMIF(Team1,$C19,Lost1)+SUMIF(Team2,$C19,Lost2)</f>
        <v>0</v>
      </c>
      <c r="H19" s="27">
        <f>SUMIF(Team1,$C19,For1)+SUMIF(Team2,$C19,For2)</f>
        <v>3</v>
      </c>
      <c r="I19" s="27">
        <f>SUMIF(Team1,$C19,Against1)+SUMIF(Team2,$C19,Against2)</f>
        <v>2</v>
      </c>
      <c r="J19" s="27">
        <f>H19-I19</f>
        <v>1</v>
      </c>
      <c r="K19" s="27">
        <f>E19*$D$1+F19*$D$2</f>
        <v>4</v>
      </c>
      <c r="L19" s="22">
        <f>1000000*K19+10000*J19+100*H19+1</f>
        <v>4010301</v>
      </c>
      <c r="M19" s="22">
        <f>4-(IF(L19&gt;L16,1,0)+IF(L19&gt;L17,1,0)+IF(L19&gt;L18,1,0))</f>
        <v>2</v>
      </c>
      <c r="O19" s="22">
        <v>17</v>
      </c>
      <c r="P19" s="22" t="s">
        <v>25</v>
      </c>
      <c r="Q19" s="22">
        <v>17</v>
      </c>
    </row>
    <row r="20" spans="3:17" ht="11.25">
      <c r="C20" s="22"/>
      <c r="J20" s="27"/>
      <c r="O20" s="22">
        <v>18</v>
      </c>
      <c r="P20" s="22" t="s">
        <v>21</v>
      </c>
      <c r="Q20" s="22">
        <v>18</v>
      </c>
    </row>
    <row r="21" spans="3:17" ht="11.25">
      <c r="C21" s="22" t="s">
        <v>72</v>
      </c>
      <c r="J21" s="27"/>
      <c r="O21" s="22">
        <v>19</v>
      </c>
      <c r="P21" s="22" t="s">
        <v>42</v>
      </c>
      <c r="Q21" s="22">
        <v>19</v>
      </c>
    </row>
    <row r="22" spans="3:17" ht="11.25">
      <c r="C22" s="22"/>
      <c r="J22" s="27"/>
      <c r="O22" s="22">
        <v>20</v>
      </c>
      <c r="P22" s="22" t="s">
        <v>46</v>
      </c>
      <c r="Q22" s="22">
        <v>20</v>
      </c>
    </row>
    <row r="23" spans="2:17" ht="11.25">
      <c r="B23" s="27">
        <f>M23</f>
        <v>1</v>
      </c>
      <c r="C23" s="22" t="s">
        <v>31</v>
      </c>
      <c r="D23" s="27">
        <f>SUMIF(Team1,$C23,Pld1)+SUMIF(Team2,$C23,Pld2)</f>
        <v>2</v>
      </c>
      <c r="E23" s="27">
        <f>SUMIF(Team1,$C23,Won1)+SUMIF(Team2,$C23,Won2)</f>
        <v>2</v>
      </c>
      <c r="F23" s="27">
        <f>SUMIF(Team1,$C23,Drawn1)+SUMIF(Team2,$C23,Drawn2)</f>
        <v>0</v>
      </c>
      <c r="G23" s="27">
        <f>SUMIF(Team1,$C23,Lost1)+SUMIF(Team2,$C23,Lost2)</f>
        <v>0</v>
      </c>
      <c r="H23" s="27">
        <f>SUMIF(Team1,$C23,For1)+SUMIF(Team2,$C23,For2)</f>
        <v>6</v>
      </c>
      <c r="I23" s="27">
        <f>SUMIF(Team1,$C23,Against1)+SUMIF(Team2,$C23,Against2)</f>
        <v>1</v>
      </c>
      <c r="J23" s="27">
        <f>H23-I23</f>
        <v>5</v>
      </c>
      <c r="K23" s="27">
        <f>E23*$D$1+F23*$D$2</f>
        <v>6</v>
      </c>
      <c r="L23" s="22">
        <f>1000000*K23+10000*J23+100*H23+4</f>
        <v>6050604</v>
      </c>
      <c r="M23" s="22">
        <f>4-(IF(L23&gt;L24,1,0)+IF(L23&gt;L25,1,0)+IF(L23&gt;L26,1,0))</f>
        <v>1</v>
      </c>
      <c r="O23" s="22">
        <v>21</v>
      </c>
      <c r="P23" s="22" t="s">
        <v>43</v>
      </c>
      <c r="Q23" s="22">
        <v>21</v>
      </c>
    </row>
    <row r="24" spans="2:17" ht="11.25">
      <c r="B24" s="27">
        <f>M24</f>
        <v>3</v>
      </c>
      <c r="C24" s="22" t="s">
        <v>32</v>
      </c>
      <c r="D24" s="27">
        <f>SUMIF(Team1,$C24,Pld1)+SUMIF(Team2,$C24,Pld2)</f>
        <v>1</v>
      </c>
      <c r="E24" s="27">
        <f>SUMIF(Team1,$C24,Won1)+SUMIF(Team2,$C24,Won2)</f>
        <v>0</v>
      </c>
      <c r="F24" s="27">
        <f>SUMIF(Team1,$C24,Drawn1)+SUMIF(Team2,$C24,Drawn2)</f>
        <v>0</v>
      </c>
      <c r="G24" s="27">
        <f>SUMIF(Team1,$C24,Lost1)+SUMIF(Team2,$C24,Lost2)</f>
        <v>1</v>
      </c>
      <c r="H24" s="27">
        <f>SUMIF(Team1,$C24,For1)+SUMIF(Team2,$C24,For2)</f>
        <v>1</v>
      </c>
      <c r="I24" s="27">
        <f>SUMIF(Team1,$C24,Against1)+SUMIF(Team2,$C24,Against2)</f>
        <v>2</v>
      </c>
      <c r="J24" s="27">
        <f>H24-I24</f>
        <v>-1</v>
      </c>
      <c r="K24" s="27">
        <f>E24*$D$1+F24*$D$2</f>
        <v>0</v>
      </c>
      <c r="L24" s="22">
        <f>1000000*K24+10000*J24+100*H24+3</f>
        <v>-9897</v>
      </c>
      <c r="M24" s="22">
        <f>4-(IF(L24&gt;L23,1,0)+IF(L24&gt;L25,1,0)+IF(L24&gt;L26,1,0))</f>
        <v>3</v>
      </c>
      <c r="O24" s="22">
        <v>22</v>
      </c>
      <c r="P24" s="22" t="s">
        <v>18</v>
      </c>
      <c r="Q24" s="22">
        <v>22</v>
      </c>
    </row>
    <row r="25" spans="2:17" ht="11.25">
      <c r="B25" s="27">
        <f>M25</f>
        <v>4</v>
      </c>
      <c r="C25" s="22" t="s">
        <v>36</v>
      </c>
      <c r="D25" s="27">
        <f>SUMIF(Team1,$C25,Pld1)+SUMIF(Team2,$C25,Pld2)</f>
        <v>2</v>
      </c>
      <c r="E25" s="27">
        <f>SUMIF(Team1,$C25,Won1)+SUMIF(Team2,$C25,Won2)</f>
        <v>0</v>
      </c>
      <c r="F25" s="27">
        <f>SUMIF(Team1,$C25,Drawn1)+SUMIF(Team2,$C25,Drawn2)</f>
        <v>0</v>
      </c>
      <c r="G25" s="27">
        <f>SUMIF(Team1,$C25,Lost1)+SUMIF(Team2,$C25,Lost2)</f>
        <v>2</v>
      </c>
      <c r="H25" s="27">
        <f>SUMIF(Team1,$C25,For1)+SUMIF(Team2,$C25,For2)</f>
        <v>0</v>
      </c>
      <c r="I25" s="27">
        <f>SUMIF(Team1,$C25,Against1)+SUMIF(Team2,$C25,Against2)</f>
        <v>6</v>
      </c>
      <c r="J25" s="27">
        <f>H25-I25</f>
        <v>-6</v>
      </c>
      <c r="K25" s="27">
        <f>E25*$D$1+F25*$D$2</f>
        <v>0</v>
      </c>
      <c r="L25" s="22">
        <f>1000000*K25+10000*J25+100*H25+2</f>
        <v>-59998</v>
      </c>
      <c r="M25" s="22">
        <f>4-(IF(L25&gt;L23,1,0)+IF(L25&gt;L24,1,0)+IF(L25&gt;L26,1,0))</f>
        <v>4</v>
      </c>
      <c r="O25" s="22">
        <v>23</v>
      </c>
      <c r="P25" s="22" t="s">
        <v>11</v>
      </c>
      <c r="Q25" s="22">
        <v>23</v>
      </c>
    </row>
    <row r="26" spans="2:17" ht="11.25">
      <c r="B26" s="27">
        <f>M26</f>
        <v>2</v>
      </c>
      <c r="C26" s="22" t="s">
        <v>37</v>
      </c>
      <c r="D26" s="27">
        <f>SUMIF(Team1,$C26,Pld1)+SUMIF(Team2,$C26,Pld2)</f>
        <v>1</v>
      </c>
      <c r="E26" s="27">
        <f>SUMIF(Team1,$C26,Won1)+SUMIF(Team2,$C26,Won2)</f>
        <v>1</v>
      </c>
      <c r="F26" s="27">
        <f>SUMIF(Team1,$C26,Drawn1)+SUMIF(Team2,$C26,Drawn2)</f>
        <v>0</v>
      </c>
      <c r="G26" s="27">
        <f>SUMIF(Team1,$C26,Lost1)+SUMIF(Team2,$C26,Lost2)</f>
        <v>0</v>
      </c>
      <c r="H26" s="27">
        <f>SUMIF(Team1,$C26,For1)+SUMIF(Team2,$C26,For2)</f>
        <v>2</v>
      </c>
      <c r="I26" s="27">
        <f>SUMIF(Team1,$C26,Against1)+SUMIF(Team2,$C26,Against2)</f>
        <v>0</v>
      </c>
      <c r="J26" s="27">
        <f>H26-I26</f>
        <v>2</v>
      </c>
      <c r="K26" s="27">
        <f>E26*$D$1+F26*$D$2</f>
        <v>3</v>
      </c>
      <c r="L26" s="22">
        <f>1000000*K26+10000*J26+100*H26+1</f>
        <v>3020201</v>
      </c>
      <c r="M26" s="22">
        <f>4-(IF(L26&gt;L23,1,0)+IF(L26&gt;L24,1,0)+IF(L26&gt;L25,1,0))</f>
        <v>2</v>
      </c>
      <c r="O26" s="22">
        <v>24</v>
      </c>
      <c r="P26" s="22" t="s">
        <v>27</v>
      </c>
      <c r="Q26" s="22">
        <v>24</v>
      </c>
    </row>
    <row r="27" spans="3:17" ht="11.25">
      <c r="C27" s="22"/>
      <c r="J27" s="27"/>
      <c r="O27" s="22">
        <v>25</v>
      </c>
      <c r="P27" s="22" t="s">
        <v>22</v>
      </c>
      <c r="Q27" s="22">
        <v>25</v>
      </c>
    </row>
    <row r="28" spans="3:17" ht="11.25">
      <c r="C28" s="22" t="s">
        <v>73</v>
      </c>
      <c r="J28" s="27"/>
      <c r="O28" s="22">
        <v>26</v>
      </c>
      <c r="P28" s="22" t="s">
        <v>41</v>
      </c>
      <c r="Q28" s="22">
        <v>26</v>
      </c>
    </row>
    <row r="29" spans="3:17" ht="11.25">
      <c r="C29" s="22"/>
      <c r="J29" s="27"/>
      <c r="O29" s="22">
        <v>27</v>
      </c>
      <c r="P29" s="22" t="s">
        <v>26</v>
      </c>
      <c r="Q29" s="22">
        <v>27</v>
      </c>
    </row>
    <row r="30" spans="2:17" ht="11.25">
      <c r="B30" s="27">
        <f>M30</f>
        <v>1</v>
      </c>
      <c r="C30" s="22" t="s">
        <v>41</v>
      </c>
      <c r="D30" s="27">
        <f>SUMIF(Team1,$C30,Pld1)+SUMIF(Team2,$C30,Pld2)</f>
        <v>1</v>
      </c>
      <c r="E30" s="27">
        <f>SUMIF(Team1,$C30,Won1)+SUMIF(Team2,$C30,Won2)</f>
        <v>1</v>
      </c>
      <c r="F30" s="27">
        <f>SUMIF(Team1,$C30,Drawn1)+SUMIF(Team2,$C30,Drawn2)</f>
        <v>0</v>
      </c>
      <c r="G30" s="27">
        <f>SUMIF(Team1,$C30,Lost1)+SUMIF(Team2,$C30,Lost2)</f>
        <v>0</v>
      </c>
      <c r="H30" s="27">
        <f>SUMIF(Team1,$C30,For1)+SUMIF(Team2,$C30,For2)</f>
        <v>2</v>
      </c>
      <c r="I30" s="27">
        <f>SUMIF(Team1,$C30,Against1)+SUMIF(Team2,$C30,Against2)</f>
        <v>0</v>
      </c>
      <c r="J30" s="27">
        <f>H30-I30</f>
        <v>2</v>
      </c>
      <c r="K30" s="27">
        <f>E30*$D$1+F30*$D$2</f>
        <v>3</v>
      </c>
      <c r="L30" s="22">
        <f>1000000*K30+10000*J30+100*H30+4</f>
        <v>3020204</v>
      </c>
      <c r="M30" s="22">
        <f>4-(IF(L30&gt;L31,1,0)+IF(L30&gt;L32,1,0)+IF(L30&gt;L33,1,0))</f>
        <v>1</v>
      </c>
      <c r="O30" s="22">
        <v>28</v>
      </c>
      <c r="P30" s="22" t="s">
        <v>20</v>
      </c>
      <c r="Q30" s="22">
        <v>28</v>
      </c>
    </row>
    <row r="31" spans="2:17" ht="11.25">
      <c r="B31" s="27">
        <f>M31</f>
        <v>4</v>
      </c>
      <c r="C31" s="22" t="s">
        <v>42</v>
      </c>
      <c r="D31" s="27">
        <f>SUMIF(Team1,$C31,Pld1)+SUMIF(Team2,$C31,Pld2)</f>
        <v>1</v>
      </c>
      <c r="E31" s="27">
        <f>SUMIF(Team1,$C31,Won1)+SUMIF(Team2,$C31,Won2)</f>
        <v>0</v>
      </c>
      <c r="F31" s="27">
        <f>SUMIF(Team1,$C31,Drawn1)+SUMIF(Team2,$C31,Drawn2)</f>
        <v>0</v>
      </c>
      <c r="G31" s="27">
        <f>SUMIF(Team1,$C31,Lost1)+SUMIF(Team2,$C31,Lost2)</f>
        <v>1</v>
      </c>
      <c r="H31" s="27">
        <f>SUMIF(Team1,$C31,For1)+SUMIF(Team2,$C31,For2)</f>
        <v>0</v>
      </c>
      <c r="I31" s="27">
        <f>SUMIF(Team1,$C31,Against1)+SUMIF(Team2,$C31,Against2)</f>
        <v>2</v>
      </c>
      <c r="J31" s="27">
        <f>H31-I31</f>
        <v>-2</v>
      </c>
      <c r="K31" s="27">
        <f>E31*$D$1+F31*$D$2</f>
        <v>0</v>
      </c>
      <c r="L31" s="22">
        <f>1000000*K31+10000*J31+100*H31+3</f>
        <v>-19997</v>
      </c>
      <c r="M31" s="22">
        <f>4-(IF(L31&gt;L30,1,0)+IF(L31&gt;L32,1,0)+IF(L31&gt;L33,1,0))</f>
        <v>4</v>
      </c>
      <c r="O31" s="22">
        <v>29</v>
      </c>
      <c r="P31" s="22" t="s">
        <v>44</v>
      </c>
      <c r="Q31" s="22">
        <v>29</v>
      </c>
    </row>
    <row r="32" spans="2:17" ht="11.25">
      <c r="B32" s="27">
        <f>M32</f>
        <v>2</v>
      </c>
      <c r="C32" s="22" t="s">
        <v>45</v>
      </c>
      <c r="D32" s="27">
        <f>SUMIF(Team1,$C32,Pld1)+SUMIF(Team2,$C32,Pld2)</f>
        <v>1</v>
      </c>
      <c r="E32" s="27">
        <f>SUMIF(Team1,$C32,Won1)+SUMIF(Team2,$C32,Won2)</f>
        <v>1</v>
      </c>
      <c r="F32" s="27">
        <f>SUMIF(Team1,$C32,Drawn1)+SUMIF(Team2,$C32,Drawn2)</f>
        <v>0</v>
      </c>
      <c r="G32" s="27">
        <f>SUMIF(Team1,$C32,Lost1)+SUMIF(Team2,$C32,Lost2)</f>
        <v>0</v>
      </c>
      <c r="H32" s="27">
        <f>SUMIF(Team1,$C32,For1)+SUMIF(Team2,$C32,For2)</f>
        <v>3</v>
      </c>
      <c r="I32" s="27">
        <f>SUMIF(Team1,$C32,Against1)+SUMIF(Team2,$C32,Against2)</f>
        <v>2</v>
      </c>
      <c r="J32" s="27">
        <f>H32-I32</f>
        <v>1</v>
      </c>
      <c r="K32" s="27">
        <f>E32*$D$1+F32*$D$2</f>
        <v>3</v>
      </c>
      <c r="L32" s="22">
        <f>1000000*K32+10000*J32+100*H32+2</f>
        <v>3010302</v>
      </c>
      <c r="M32" s="22">
        <f>4-(IF(L32&gt;L30,1,0)+IF(L32&gt;L31,1,0)+IF(L32&gt;L33,1,0))</f>
        <v>2</v>
      </c>
      <c r="O32" s="22">
        <v>30</v>
      </c>
      <c r="P32" s="22" t="s">
        <v>32</v>
      </c>
      <c r="Q32" s="22">
        <v>30</v>
      </c>
    </row>
    <row r="33" spans="2:17" ht="11.25">
      <c r="B33" s="27">
        <f>M33</f>
        <v>3</v>
      </c>
      <c r="C33" s="22" t="s">
        <v>46</v>
      </c>
      <c r="D33" s="27">
        <f>SUMIF(Team1,$C33,Pld1)+SUMIF(Team2,$C33,Pld2)</f>
        <v>1</v>
      </c>
      <c r="E33" s="27">
        <f>SUMIF(Team1,$C33,Won1)+SUMIF(Team2,$C33,Won2)</f>
        <v>0</v>
      </c>
      <c r="F33" s="27">
        <f>SUMIF(Team1,$C33,Drawn1)+SUMIF(Team2,$C33,Drawn2)</f>
        <v>0</v>
      </c>
      <c r="G33" s="27">
        <f>SUMIF(Team1,$C33,Lost1)+SUMIF(Team2,$C33,Lost2)</f>
        <v>1</v>
      </c>
      <c r="H33" s="27">
        <f>SUMIF(Team1,$C33,For1)+SUMIF(Team2,$C33,For2)</f>
        <v>2</v>
      </c>
      <c r="I33" s="27">
        <f>SUMIF(Team1,$C33,Against1)+SUMIF(Team2,$C33,Against2)</f>
        <v>3</v>
      </c>
      <c r="J33" s="27">
        <f>H33-I33</f>
        <v>-1</v>
      </c>
      <c r="K33" s="27">
        <f>E33*$D$1+F33*$D$2</f>
        <v>0</v>
      </c>
      <c r="L33" s="22">
        <f>1000000*K33+10000*J33+100*H33+1</f>
        <v>-9799</v>
      </c>
      <c r="M33" s="22">
        <f>4-(IF(L33&gt;L30,1,0)+IF(L33&gt;L31,1,0)+IF(L33&gt;L32,1,0))</f>
        <v>3</v>
      </c>
      <c r="O33" s="22">
        <v>31</v>
      </c>
      <c r="P33" s="22" t="s">
        <v>15</v>
      </c>
      <c r="Q33" s="22">
        <v>31</v>
      </c>
    </row>
    <row r="34" spans="3:17" ht="11.25">
      <c r="C34" s="22"/>
      <c r="J34" s="27"/>
      <c r="O34" s="22">
        <v>32</v>
      </c>
      <c r="P34" s="22" t="s">
        <v>45</v>
      </c>
      <c r="Q34" s="22">
        <v>32</v>
      </c>
    </row>
    <row r="35" spans="3:10" ht="11.25">
      <c r="C35" s="22" t="s">
        <v>74</v>
      </c>
      <c r="J35" s="27"/>
    </row>
    <row r="36" spans="3:10" ht="11.25">
      <c r="C36" s="22"/>
      <c r="J36" s="27"/>
    </row>
    <row r="37" spans="2:13" ht="11.25">
      <c r="B37" s="27">
        <f>M37</f>
        <v>1</v>
      </c>
      <c r="C37" s="22" t="s">
        <v>17</v>
      </c>
      <c r="D37" s="27">
        <f>SUMIF(Team1,$C37,Pld1)+SUMIF(Team2,$C37,Pld2)</f>
        <v>2</v>
      </c>
      <c r="E37" s="27">
        <f>SUMIF(Team1,$C37,Won1)+SUMIF(Team2,$C37,Won2)</f>
        <v>1</v>
      </c>
      <c r="F37" s="27">
        <f>SUMIF(Team1,$C37,Drawn1)+SUMIF(Team2,$C37,Drawn2)</f>
        <v>1</v>
      </c>
      <c r="G37" s="27">
        <f>SUMIF(Team1,$C37,Lost1)+SUMIF(Team2,$C37,Lost2)</f>
        <v>0</v>
      </c>
      <c r="H37" s="27">
        <f>SUMIF(Team1,$C37,For1)+SUMIF(Team2,$C37,For2)</f>
        <v>9</v>
      </c>
      <c r="I37" s="27">
        <f>SUMIF(Team1,$C37,Against1)+SUMIF(Team2,$C37,Against2)</f>
        <v>1</v>
      </c>
      <c r="J37" s="27">
        <f>H37-I37</f>
        <v>8</v>
      </c>
      <c r="K37" s="27">
        <f>E37*$D$1+F37*$D$2</f>
        <v>4</v>
      </c>
      <c r="L37" s="22">
        <f>1000000*K37+10000*J37+100*H37+4</f>
        <v>4080904</v>
      </c>
      <c r="M37" s="22">
        <f>4-(IF(L37&gt;L38,1,0)+IF(L37&gt;L39,1,0)+IF(L37&gt;L40,1,0))</f>
        <v>1</v>
      </c>
    </row>
    <row r="38" spans="2:13" ht="11.25">
      <c r="B38" s="27">
        <f>M38</f>
        <v>4</v>
      </c>
      <c r="C38" s="22" t="s">
        <v>18</v>
      </c>
      <c r="D38" s="27">
        <f>SUMIF(Team1,$C38,Pld1)+SUMIF(Team2,$C38,Pld2)</f>
        <v>2</v>
      </c>
      <c r="E38" s="27">
        <f>SUMIF(Team1,$C38,Won1)+SUMIF(Team2,$C38,Won2)</f>
        <v>0</v>
      </c>
      <c r="F38" s="27">
        <f>SUMIF(Team1,$C38,Drawn1)+SUMIF(Team2,$C38,Drawn2)</f>
        <v>0</v>
      </c>
      <c r="G38" s="27">
        <f>SUMIF(Team1,$C38,Lost1)+SUMIF(Team2,$C38,Lost2)</f>
        <v>2</v>
      </c>
      <c r="H38" s="27">
        <f>SUMIF(Team1,$C38,For1)+SUMIF(Team2,$C38,For2)</f>
        <v>1</v>
      </c>
      <c r="I38" s="27">
        <f>SUMIF(Team1,$C38,Against1)+SUMIF(Team2,$C38,Against2)</f>
        <v>10</v>
      </c>
      <c r="J38" s="27">
        <f>H38-I38</f>
        <v>-9</v>
      </c>
      <c r="K38" s="27">
        <f>E38*$D$1+F38*$D$2</f>
        <v>0</v>
      </c>
      <c r="L38" s="22">
        <f>1000000*K38+10000*J38+100*H38+3</f>
        <v>-89897</v>
      </c>
      <c r="M38" s="22">
        <f>4-(IF(L38&gt;L37,1,0)+IF(L38&gt;L39,1,0)+IF(L38&gt;L40,1,0))</f>
        <v>4</v>
      </c>
    </row>
    <row r="39" spans="2:13" ht="11.25">
      <c r="B39" s="27">
        <f>M39</f>
        <v>3</v>
      </c>
      <c r="C39" s="22" t="s">
        <v>12</v>
      </c>
      <c r="D39" s="27">
        <f>SUMIF(Team1,$C39,Pld1)+SUMIF(Team2,$C39,Pld2)</f>
        <v>2</v>
      </c>
      <c r="E39" s="27">
        <f>SUMIF(Team1,$C39,Won1)+SUMIF(Team2,$C39,Won2)</f>
        <v>0</v>
      </c>
      <c r="F39" s="27">
        <f>SUMIF(Team1,$C39,Drawn1)+SUMIF(Team2,$C39,Drawn2)</f>
        <v>2</v>
      </c>
      <c r="G39" s="27">
        <f>SUMIF(Team1,$C39,Lost1)+SUMIF(Team2,$C39,Lost2)</f>
        <v>0</v>
      </c>
      <c r="H39" s="27">
        <f>SUMIF(Team1,$C39,For1)+SUMIF(Team2,$C39,For2)</f>
        <v>2</v>
      </c>
      <c r="I39" s="27">
        <f>SUMIF(Team1,$C39,Against1)+SUMIF(Team2,$C39,Against2)</f>
        <v>2</v>
      </c>
      <c r="J39" s="27">
        <f>H39-I39</f>
        <v>0</v>
      </c>
      <c r="K39" s="27">
        <f>E39*$D$1+F39*$D$2</f>
        <v>2</v>
      </c>
      <c r="L39" s="22">
        <f>1000000*K39+10000*J39+100*H39+2</f>
        <v>2000202</v>
      </c>
      <c r="M39" s="22">
        <f>4-(IF(L39&gt;L37,1,0)+IF(L39&gt;L38,1,0)+IF(L39&gt;L40,1,0))</f>
        <v>3</v>
      </c>
    </row>
    <row r="40" spans="2:13" ht="11.25">
      <c r="B40" s="27">
        <f>M40</f>
        <v>2</v>
      </c>
      <c r="C40" s="22" t="s">
        <v>13</v>
      </c>
      <c r="D40" s="27">
        <f>SUMIF(Team1,$C40,Pld1)+SUMIF(Team2,$C40,Pld2)</f>
        <v>2</v>
      </c>
      <c r="E40" s="27">
        <f>SUMIF(Team1,$C40,Won1)+SUMIF(Team2,$C40,Won2)</f>
        <v>1</v>
      </c>
      <c r="F40" s="27">
        <f>SUMIF(Team1,$C40,Drawn1)+SUMIF(Team2,$C40,Drawn2)</f>
        <v>1</v>
      </c>
      <c r="G40" s="27">
        <f>SUMIF(Team1,$C40,Lost1)+SUMIF(Team2,$C40,Lost2)</f>
        <v>0</v>
      </c>
      <c r="H40" s="27">
        <f>SUMIF(Team1,$C40,For1)+SUMIF(Team2,$C40,For2)</f>
        <v>3</v>
      </c>
      <c r="I40" s="27">
        <f>SUMIF(Team1,$C40,Against1)+SUMIF(Team2,$C40,Against2)</f>
        <v>2</v>
      </c>
      <c r="J40" s="27">
        <f>H40-I40</f>
        <v>1</v>
      </c>
      <c r="K40" s="27">
        <f>E40*$D$1+F40*$D$2</f>
        <v>4</v>
      </c>
      <c r="L40" s="22">
        <f>1000000*K40+10000*J40+100*H40+1</f>
        <v>4010301</v>
      </c>
      <c r="M40" s="22">
        <f>4-(IF(L40&gt;L37,1,0)+IF(L40&gt;L38,1,0)+IF(L40&gt;L39,1,0))</f>
        <v>2</v>
      </c>
    </row>
    <row r="41" spans="3:10" ht="11.25">
      <c r="C41" s="22"/>
      <c r="J41" s="27"/>
    </row>
    <row r="42" spans="3:10" ht="11.25">
      <c r="C42" s="22" t="s">
        <v>75</v>
      </c>
      <c r="J42" s="27"/>
    </row>
    <row r="43" spans="3:10" ht="11.25">
      <c r="C43" s="22"/>
      <c r="J43" s="27"/>
    </row>
    <row r="44" spans="2:13" ht="11.25">
      <c r="B44" s="27">
        <f>M44</f>
        <v>3</v>
      </c>
      <c r="C44" s="22" t="s">
        <v>24</v>
      </c>
      <c r="D44" s="27">
        <f>SUMIF(Team1,$C44,Pld1)+SUMIF(Team2,$C44,Pld2)</f>
        <v>2</v>
      </c>
      <c r="E44" s="27">
        <f>SUMIF(Team1,$C44,Won1)+SUMIF(Team2,$C44,Won2)</f>
        <v>1</v>
      </c>
      <c r="F44" s="27">
        <f>SUMIF(Team1,$C44,Drawn1)+SUMIF(Team2,$C44,Drawn2)</f>
        <v>0</v>
      </c>
      <c r="G44" s="27">
        <f>SUMIF(Team1,$C44,Lost1)+SUMIF(Team2,$C44,Lost2)</f>
        <v>1</v>
      </c>
      <c r="H44" s="27">
        <f>SUMIF(Team1,$C44,For1)+SUMIF(Team2,$C44,For2)</f>
        <v>1</v>
      </c>
      <c r="I44" s="27">
        <f>SUMIF(Team1,$C44,Against1)+SUMIF(Team2,$C44,Against2)</f>
        <v>1</v>
      </c>
      <c r="J44" s="27">
        <f>H44-I44</f>
        <v>0</v>
      </c>
      <c r="K44" s="27">
        <f>E44*$D$1+F44*$D$2</f>
        <v>3</v>
      </c>
      <c r="L44" s="22">
        <f>1000000*K44+10000*J44+100*H44+4</f>
        <v>3000104</v>
      </c>
      <c r="M44" s="22">
        <f>4-(IF(L44&gt;L45,1,0)+IF(L44&gt;L46,1,0)+IF(L44&gt;L47,1,0))</f>
        <v>3</v>
      </c>
    </row>
    <row r="45" spans="2:13" ht="11.25">
      <c r="B45" s="27">
        <f>M45</f>
        <v>4</v>
      </c>
      <c r="C45" s="22" t="s">
        <v>25</v>
      </c>
      <c r="D45" s="27">
        <f>SUMIF(Team1,$C45,Pld1)+SUMIF(Team2,$C45,Pld2)</f>
        <v>2</v>
      </c>
      <c r="E45" s="27">
        <f>SUMIF(Team1,$C45,Won1)+SUMIF(Team2,$C45,Won2)</f>
        <v>0</v>
      </c>
      <c r="F45" s="27">
        <f>SUMIF(Team1,$C45,Drawn1)+SUMIF(Team2,$C45,Drawn2)</f>
        <v>0</v>
      </c>
      <c r="G45" s="27">
        <f>SUMIF(Team1,$C45,Lost1)+SUMIF(Team2,$C45,Lost2)</f>
        <v>2</v>
      </c>
      <c r="H45" s="27">
        <f>SUMIF(Team1,$C45,For1)+SUMIF(Team2,$C45,For2)</f>
        <v>1</v>
      </c>
      <c r="I45" s="27">
        <f>SUMIF(Team1,$C45,Against1)+SUMIF(Team2,$C45,Against2)</f>
        <v>3</v>
      </c>
      <c r="J45" s="27">
        <f>H45-I45</f>
        <v>-2</v>
      </c>
      <c r="K45" s="27">
        <f>E45*$D$1+F45*$D$2</f>
        <v>0</v>
      </c>
      <c r="L45" s="22">
        <f>1000000*K45+10000*J45+100*H45+3</f>
        <v>-19897</v>
      </c>
      <c r="M45" s="22">
        <f>4-(IF(L45&gt;L44,1,0)+IF(L45&gt;L46,1,0)+IF(L45&gt;L47,1,0))</f>
        <v>4</v>
      </c>
    </row>
    <row r="46" spans="2:13" ht="11.25">
      <c r="B46" s="27">
        <f>M46</f>
        <v>2</v>
      </c>
      <c r="C46" s="22" t="s">
        <v>19</v>
      </c>
      <c r="D46" s="27">
        <f>SUMIF(Team1,$C46,Pld1)+SUMIF(Team2,$C46,Pld2)</f>
        <v>2</v>
      </c>
      <c r="E46" s="27">
        <f>SUMIF(Team1,$C46,Won1)+SUMIF(Team2,$C46,Won2)</f>
        <v>1</v>
      </c>
      <c r="F46" s="27">
        <f>SUMIF(Team1,$C46,Drawn1)+SUMIF(Team2,$C46,Drawn2)</f>
        <v>1</v>
      </c>
      <c r="G46" s="27">
        <f>SUMIF(Team1,$C46,Lost1)+SUMIF(Team2,$C46,Lost2)</f>
        <v>0</v>
      </c>
      <c r="H46" s="27">
        <f>SUMIF(Team1,$C46,For1)+SUMIF(Team2,$C46,For2)</f>
        <v>2</v>
      </c>
      <c r="I46" s="27">
        <f>SUMIF(Team1,$C46,Against1)+SUMIF(Team2,$C46,Against2)</f>
        <v>1</v>
      </c>
      <c r="J46" s="27">
        <f>H46-I46</f>
        <v>1</v>
      </c>
      <c r="K46" s="27">
        <f>E46*$D$1+F46*$D$2</f>
        <v>4</v>
      </c>
      <c r="L46" s="22">
        <f>1000000*K46+10000*J46+100*H46+2</f>
        <v>4010202</v>
      </c>
      <c r="M46" s="22">
        <f>4-(IF(L46&gt;L44,1,0)+IF(L46&gt;L45,1,0)+IF(L46&gt;L47,1,0))</f>
        <v>2</v>
      </c>
    </row>
    <row r="47" spans="2:13" ht="11.25">
      <c r="B47" s="27">
        <f>M47</f>
        <v>1</v>
      </c>
      <c r="C47" s="22" t="s">
        <v>20</v>
      </c>
      <c r="D47" s="27">
        <f>SUMIF(Team1,$C47,Pld1)+SUMIF(Team2,$C47,Pld2)</f>
        <v>2</v>
      </c>
      <c r="E47" s="27">
        <f>SUMIF(Team1,$C47,Won1)+SUMIF(Team2,$C47,Won2)</f>
        <v>1</v>
      </c>
      <c r="F47" s="27">
        <f>SUMIF(Team1,$C47,Drawn1)+SUMIF(Team2,$C47,Drawn2)</f>
        <v>1</v>
      </c>
      <c r="G47" s="27">
        <f>SUMIF(Team1,$C47,Lost1)+SUMIF(Team2,$C47,Lost2)</f>
        <v>0</v>
      </c>
      <c r="H47" s="27">
        <f>SUMIF(Team1,$C47,For1)+SUMIF(Team2,$C47,For2)</f>
        <v>3</v>
      </c>
      <c r="I47" s="27">
        <f>SUMIF(Team1,$C47,Against1)+SUMIF(Team2,$C47,Against2)</f>
        <v>2</v>
      </c>
      <c r="J47" s="27">
        <f>H47-I47</f>
        <v>1</v>
      </c>
      <c r="K47" s="27">
        <f>E47*$D$1+F47*$D$2</f>
        <v>4</v>
      </c>
      <c r="L47" s="22">
        <f>1000000*K47+10000*J47+100*H47+1</f>
        <v>4010301</v>
      </c>
      <c r="M47" s="22">
        <f>4-(IF(L47&gt;L44,1,0)+IF(L47&gt;L45,1,0)+IF(L47&gt;L46,1,0))</f>
        <v>1</v>
      </c>
    </row>
    <row r="48" spans="3:10" ht="11.25">
      <c r="C48" s="22"/>
      <c r="J48" s="27"/>
    </row>
    <row r="49" spans="3:10" ht="11.25">
      <c r="C49" s="22" t="s">
        <v>76</v>
      </c>
      <c r="J49" s="27"/>
    </row>
    <row r="50" spans="3:10" ht="11.25">
      <c r="C50" s="22"/>
      <c r="J50" s="27"/>
    </row>
    <row r="51" spans="2:13" ht="11.25">
      <c r="B51" s="27">
        <f>M51</f>
        <v>1</v>
      </c>
      <c r="C51" s="22" t="s">
        <v>34</v>
      </c>
      <c r="D51" s="27">
        <f>SUMIF(Team1,$C51,Pld1)+SUMIF(Team2,$C51,Pld2)</f>
        <v>2</v>
      </c>
      <c r="E51" s="27">
        <f>SUMIF(Team1,$C51,Won1)+SUMIF(Team2,$C51,Won2)</f>
        <v>1</v>
      </c>
      <c r="F51" s="27">
        <f>SUMIF(Team1,$C51,Drawn1)+SUMIF(Team2,$C51,Drawn2)</f>
        <v>0</v>
      </c>
      <c r="G51" s="27">
        <f>SUMIF(Team1,$C51,Lost1)+SUMIF(Team2,$C51,Lost2)</f>
        <v>1</v>
      </c>
      <c r="H51" s="27">
        <f>SUMIF(Team1,$C51,For1)+SUMIF(Team2,$C51,For2)</f>
        <v>3</v>
      </c>
      <c r="I51" s="27">
        <f>SUMIF(Team1,$C51,Against1)+SUMIF(Team2,$C51,Against2)</f>
        <v>2</v>
      </c>
      <c r="J51" s="27">
        <f>H51-I51</f>
        <v>1</v>
      </c>
      <c r="K51" s="27">
        <f>E51*$D$1+F51*$D$2</f>
        <v>3</v>
      </c>
      <c r="L51" s="22">
        <f>1000000*K51+10000*J51+100*H51+4</f>
        <v>3010304</v>
      </c>
      <c r="M51" s="22">
        <f>4-(IF(L51&gt;L52,1,0)+IF(L51&gt;L53,1,0)+IF(L51&gt;L54,1,0))</f>
        <v>1</v>
      </c>
    </row>
    <row r="52" spans="2:13" ht="11.25">
      <c r="B52" s="27">
        <f>M52</f>
        <v>4</v>
      </c>
      <c r="C52" s="22" t="s">
        <v>35</v>
      </c>
      <c r="D52" s="27">
        <f>SUMIF(Team1,$C52,Pld1)+SUMIF(Team2,$C52,Pld2)</f>
        <v>1</v>
      </c>
      <c r="E52" s="27">
        <f>SUMIF(Team1,$C52,Won1)+SUMIF(Team2,$C52,Won2)</f>
        <v>0</v>
      </c>
      <c r="F52" s="27">
        <f>SUMIF(Team1,$C52,Drawn1)+SUMIF(Team2,$C52,Drawn2)</f>
        <v>0</v>
      </c>
      <c r="G52" s="27">
        <f>SUMIF(Team1,$C52,Lost1)+SUMIF(Team2,$C52,Lost2)</f>
        <v>1</v>
      </c>
      <c r="H52" s="27">
        <f>SUMIF(Team1,$C52,For1)+SUMIF(Team2,$C52,For2)</f>
        <v>0</v>
      </c>
      <c r="I52" s="27">
        <f>SUMIF(Team1,$C52,Against1)+SUMIF(Team2,$C52,Against2)</f>
        <v>2</v>
      </c>
      <c r="J52" s="27">
        <f>H52-I52</f>
        <v>-2</v>
      </c>
      <c r="K52" s="27">
        <f>E52*$D$1+F52*$D$2</f>
        <v>0</v>
      </c>
      <c r="L52" s="22">
        <f>1000000*K52+10000*J52+100*H52+3</f>
        <v>-19997</v>
      </c>
      <c r="M52" s="22">
        <f>4-(IF(L52&gt;L51,1,0)+IF(L52&gt;L53,1,0)+IF(L52&gt;L54,1,0))</f>
        <v>4</v>
      </c>
    </row>
    <row r="53" spans="2:13" ht="11.25">
      <c r="B53" s="27">
        <f>M53</f>
        <v>3</v>
      </c>
      <c r="C53" s="22" t="s">
        <v>28</v>
      </c>
      <c r="D53" s="27">
        <f>SUMIF(Team1,$C53,Pld1)+SUMIF(Team2,$C53,Pld2)</f>
        <v>2</v>
      </c>
      <c r="E53" s="27">
        <f>SUMIF(Team1,$C53,Won1)+SUMIF(Team2,$C53,Won2)</f>
        <v>1</v>
      </c>
      <c r="F53" s="27">
        <f>SUMIF(Team1,$C53,Drawn1)+SUMIF(Team2,$C53,Drawn2)</f>
        <v>0</v>
      </c>
      <c r="G53" s="27">
        <f>SUMIF(Team1,$C53,Lost1)+SUMIF(Team2,$C53,Lost2)</f>
        <v>1</v>
      </c>
      <c r="H53" s="27">
        <f>SUMIF(Team1,$C53,For1)+SUMIF(Team2,$C53,For2)</f>
        <v>2</v>
      </c>
      <c r="I53" s="27">
        <f>SUMIF(Team1,$C53,Against1)+SUMIF(Team2,$C53,Against2)</f>
        <v>2</v>
      </c>
      <c r="J53" s="27">
        <f>H53-I53</f>
        <v>0</v>
      </c>
      <c r="K53" s="27">
        <f>E53*$D$1+F53*$D$2</f>
        <v>3</v>
      </c>
      <c r="L53" s="22">
        <f>1000000*K53+10000*J53+100*H53+2</f>
        <v>3000202</v>
      </c>
      <c r="M53" s="22">
        <f>4-(IF(L53&gt;L51,1,0)+IF(L53&gt;L52,1,0)+IF(L53&gt;L54,1,0))</f>
        <v>3</v>
      </c>
    </row>
    <row r="54" spans="2:13" ht="11.25">
      <c r="B54" s="27">
        <f>M54</f>
        <v>2</v>
      </c>
      <c r="C54" s="22" t="s">
        <v>29</v>
      </c>
      <c r="D54" s="27">
        <f>SUMIF(Team1,$C54,Pld1)+SUMIF(Team2,$C54,Pld2)</f>
        <v>1</v>
      </c>
      <c r="E54" s="27">
        <f>SUMIF(Team1,$C54,Won1)+SUMIF(Team2,$C54,Won2)</f>
        <v>1</v>
      </c>
      <c r="F54" s="27">
        <f>SUMIF(Team1,$C54,Drawn1)+SUMIF(Team2,$C54,Drawn2)</f>
        <v>0</v>
      </c>
      <c r="G54" s="27">
        <f>SUMIF(Team1,$C54,Lost1)+SUMIF(Team2,$C54,Lost2)</f>
        <v>0</v>
      </c>
      <c r="H54" s="27">
        <f>SUMIF(Team1,$C54,For1)+SUMIF(Team2,$C54,For2)</f>
        <v>1</v>
      </c>
      <c r="I54" s="27">
        <f>SUMIF(Team1,$C54,Against1)+SUMIF(Team2,$C54,Against2)</f>
        <v>0</v>
      </c>
      <c r="J54" s="27">
        <f>H54-I54</f>
        <v>1</v>
      </c>
      <c r="K54" s="27">
        <f>E54*$D$1+F54*$D$2</f>
        <v>3</v>
      </c>
      <c r="L54" s="22">
        <f>1000000*K54+10000*J54+100*H54+1</f>
        <v>3010101</v>
      </c>
      <c r="M54" s="22">
        <f>4-(IF(L54&gt;L51,1,0)+IF(L54&gt;L52,1,0)+IF(L54&gt;L53,1,0))</f>
        <v>2</v>
      </c>
    </row>
    <row r="55" spans="3:10" ht="11.25">
      <c r="C55" s="22"/>
      <c r="J55" s="27"/>
    </row>
    <row r="56" spans="3:10" ht="11.25">
      <c r="C56" s="22" t="s">
        <v>77</v>
      </c>
      <c r="J56" s="27"/>
    </row>
    <row r="57" spans="3:10" ht="11.25">
      <c r="C57" s="22"/>
      <c r="J57" s="27"/>
    </row>
    <row r="58" spans="2:13" ht="11.25">
      <c r="B58" s="27">
        <f>M58</f>
        <v>2</v>
      </c>
      <c r="C58" s="22" t="s">
        <v>38</v>
      </c>
      <c r="D58" s="27">
        <f>SUMIF(Team1,$C58,Pld1)+SUMIF(Team2,$C58,Pld2)</f>
        <v>1</v>
      </c>
      <c r="E58" s="27">
        <f>SUMIF(Team1,$C58,Won1)+SUMIF(Team2,$C58,Won2)</f>
        <v>0</v>
      </c>
      <c r="F58" s="27">
        <f>SUMIF(Team1,$C58,Drawn1)+SUMIF(Team2,$C58,Drawn2)</f>
        <v>1</v>
      </c>
      <c r="G58" s="27">
        <f>SUMIF(Team1,$C58,Lost1)+SUMIF(Team2,$C58,Lost2)</f>
        <v>0</v>
      </c>
      <c r="H58" s="27">
        <f>SUMIF(Team1,$C58,For1)+SUMIF(Team2,$C58,For2)</f>
        <v>2</v>
      </c>
      <c r="I58" s="27">
        <f>SUMIF(Team1,$C58,Against1)+SUMIF(Team2,$C58,Against2)</f>
        <v>2</v>
      </c>
      <c r="J58" s="27">
        <f>H58-I58</f>
        <v>0</v>
      </c>
      <c r="K58" s="27">
        <f>E58*$D$1+F58*$D$2</f>
        <v>1</v>
      </c>
      <c r="L58" s="22">
        <f>1000000*K58+10000*J58+100*H58+4</f>
        <v>1000204</v>
      </c>
      <c r="M58" s="22">
        <f>4-(IF(L58&gt;L59,1,0)+IF(L58&gt;L60,1,0)+IF(L58&gt;L61,1,0))</f>
        <v>2</v>
      </c>
    </row>
    <row r="59" spans="2:13" ht="11.25">
      <c r="B59" s="27">
        <f>M59</f>
        <v>3</v>
      </c>
      <c r="C59" s="22" t="s">
        <v>39</v>
      </c>
      <c r="D59" s="27">
        <f>SUMIF(Team1,$C59,Pld1)+SUMIF(Team2,$C59,Pld2)</f>
        <v>1</v>
      </c>
      <c r="E59" s="27">
        <f>SUMIF(Team1,$C59,Won1)+SUMIF(Team2,$C59,Won2)</f>
        <v>0</v>
      </c>
      <c r="F59" s="27">
        <f>SUMIF(Team1,$C59,Drawn1)+SUMIF(Team2,$C59,Drawn2)</f>
        <v>1</v>
      </c>
      <c r="G59" s="27">
        <f>SUMIF(Team1,$C59,Lost1)+SUMIF(Team2,$C59,Lost2)</f>
        <v>0</v>
      </c>
      <c r="H59" s="27">
        <f>SUMIF(Team1,$C59,For1)+SUMIF(Team2,$C59,For2)</f>
        <v>2</v>
      </c>
      <c r="I59" s="27">
        <f>SUMIF(Team1,$C59,Against1)+SUMIF(Team2,$C59,Against2)</f>
        <v>2</v>
      </c>
      <c r="J59" s="27">
        <f>H59-I59</f>
        <v>0</v>
      </c>
      <c r="K59" s="27">
        <f>E59*$D$1+F59*$D$2</f>
        <v>1</v>
      </c>
      <c r="L59" s="22">
        <f>1000000*K59+10000*J59+100*H59+3</f>
        <v>1000203</v>
      </c>
      <c r="M59" s="22">
        <f>4-(IF(L59&gt;L58,1,0)+IF(L59&gt;L60,1,0)+IF(L59&gt;L61,1,0))</f>
        <v>3</v>
      </c>
    </row>
    <row r="60" spans="2:13" ht="11.25">
      <c r="B60" s="27">
        <f>M60</f>
        <v>1</v>
      </c>
      <c r="C60" s="22" t="s">
        <v>43</v>
      </c>
      <c r="D60" s="27">
        <f>SUMIF(Team1,$C60,Pld1)+SUMIF(Team2,$C60,Pld2)</f>
        <v>1</v>
      </c>
      <c r="E60" s="27">
        <f>SUMIF(Team1,$C60,Won1)+SUMIF(Team2,$C60,Won2)</f>
        <v>1</v>
      </c>
      <c r="F60" s="27">
        <f>SUMIF(Team1,$C60,Drawn1)+SUMIF(Team2,$C60,Drawn2)</f>
        <v>0</v>
      </c>
      <c r="G60" s="27">
        <f>SUMIF(Team1,$C60,Lost1)+SUMIF(Team2,$C60,Lost2)</f>
        <v>0</v>
      </c>
      <c r="H60" s="27">
        <f>SUMIF(Team1,$C60,For1)+SUMIF(Team2,$C60,For2)</f>
        <v>2</v>
      </c>
      <c r="I60" s="27">
        <f>SUMIF(Team1,$C60,Against1)+SUMIF(Team2,$C60,Against2)</f>
        <v>0</v>
      </c>
      <c r="J60" s="27">
        <f>H60-I60</f>
        <v>2</v>
      </c>
      <c r="K60" s="27">
        <f>E60*$D$1+F60*$D$2</f>
        <v>3</v>
      </c>
      <c r="L60" s="22">
        <f>1000000*K60+10000*J60+100*H60+2</f>
        <v>3020202</v>
      </c>
      <c r="M60" s="22">
        <f>4-(IF(L60&gt;L58,1,0)+IF(L60&gt;L59,1,0)+IF(L60&gt;L61,1,0))</f>
        <v>1</v>
      </c>
    </row>
    <row r="61" spans="2:13" ht="11.25">
      <c r="B61" s="27">
        <f>M61</f>
        <v>4</v>
      </c>
      <c r="C61" s="22" t="s">
        <v>44</v>
      </c>
      <c r="D61" s="27">
        <f>SUMIF(Team1,$C61,Pld1)+SUMIF(Team2,$C61,Pld2)</f>
        <v>1</v>
      </c>
      <c r="E61" s="27">
        <f>SUMIF(Team1,$C61,Won1)+SUMIF(Team2,$C61,Won2)</f>
        <v>0</v>
      </c>
      <c r="F61" s="27">
        <f>SUMIF(Team1,$C61,Drawn1)+SUMIF(Team2,$C61,Drawn2)</f>
        <v>0</v>
      </c>
      <c r="G61" s="27">
        <f>SUMIF(Team1,$C61,Lost1)+SUMIF(Team2,$C61,Lost2)</f>
        <v>1</v>
      </c>
      <c r="H61" s="27">
        <f>SUMIF(Team1,$C61,For1)+SUMIF(Team2,$C61,For2)</f>
        <v>0</v>
      </c>
      <c r="I61" s="27">
        <f>SUMIF(Team1,$C61,Against1)+SUMIF(Team2,$C61,Against2)</f>
        <v>2</v>
      </c>
      <c r="J61" s="27">
        <f>H61-I61</f>
        <v>-2</v>
      </c>
      <c r="K61" s="27">
        <f>E61*$D$1+F61*$D$2</f>
        <v>0</v>
      </c>
      <c r="L61" s="22">
        <f>1000000*K61+10000*J61+100*H61+1</f>
        <v>-19999</v>
      </c>
      <c r="M61" s="22">
        <f>4-(IF(L61&gt;L58,1,0)+IF(L61&gt;L59,1,0)+IF(L61&gt;L60,1,0))</f>
        <v>4</v>
      </c>
    </row>
  </sheetData>
  <hyperlinks>
    <hyperlink ref="A6" r:id="rId1" display="www.expansys.co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Expansys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조민기</cp:lastModifiedBy>
  <dcterms:created xsi:type="dcterms:W3CDTF">2002-05-26T19:12:08Z</dcterms:created>
  <dcterms:modified xsi:type="dcterms:W3CDTF">2002-06-08T13:18:53Z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